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X:\1\hhb\"/>
    </mc:Choice>
  </mc:AlternateContent>
  <bookViews>
    <workbookView xWindow="0" yWindow="0" windowWidth="25140" windowHeight="12000" xr2:uid="{00000000-000D-0000-FFFF-FFFF00000000}"/>
  </bookViews>
  <sheets>
    <sheet name="Patentics" sheetId="1" r:id="rId1"/>
    <sheet name="分析库" sheetId="2" r:id="rId2"/>
  </sheets>
  <calcPr calcId="171027"/>
</workbook>
</file>

<file path=xl/calcChain.xml><?xml version="1.0" encoding="utf-8"?>
<calcChain xmlns="http://schemas.openxmlformats.org/spreadsheetml/2006/main">
  <c r="A1657" i="1" l="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1" i="1"/>
</calcChain>
</file>

<file path=xl/sharedStrings.xml><?xml version="1.0" encoding="utf-8"?>
<sst xmlns="http://schemas.openxmlformats.org/spreadsheetml/2006/main" count="26514" uniqueCount="8568">
  <si>
    <t/>
  </si>
  <si>
    <t>被高通全球专利引用的中国大学专利</t>
  </si>
  <si>
    <t>公开号</t>
  </si>
  <si>
    <t>申请号</t>
  </si>
  <si>
    <t>标题</t>
  </si>
  <si>
    <t>申请人</t>
  </si>
  <si>
    <t>标准申请人</t>
  </si>
  <si>
    <t>发明人</t>
  </si>
  <si>
    <t>第一发明人</t>
  </si>
  <si>
    <t>优先权日</t>
  </si>
  <si>
    <t>申请日</t>
  </si>
  <si>
    <t>公开日</t>
  </si>
  <si>
    <t>国际主分类</t>
  </si>
  <si>
    <t>国际分类</t>
  </si>
  <si>
    <t>专利度</t>
  </si>
  <si>
    <t>特征度</t>
  </si>
  <si>
    <t>专利类型</t>
  </si>
  <si>
    <t>优先权国家</t>
  </si>
  <si>
    <t>引用数</t>
  </si>
  <si>
    <t>自引用数</t>
  </si>
  <si>
    <t>非自引用数</t>
  </si>
  <si>
    <t>引用公司数</t>
  </si>
  <si>
    <t>被引用数</t>
  </si>
  <si>
    <t>影响因子</t>
  </si>
  <si>
    <t>被自引用</t>
  </si>
  <si>
    <t>非被自引用数</t>
  </si>
  <si>
    <t>被引用公司数</t>
  </si>
  <si>
    <t>被引用国家数</t>
  </si>
  <si>
    <t>同族数</t>
  </si>
  <si>
    <t>同族国家数</t>
  </si>
  <si>
    <t>等级</t>
  </si>
  <si>
    <t>相关度</t>
  </si>
  <si>
    <t>法律状态</t>
  </si>
  <si>
    <t>CN200410021625.2</t>
  </si>
  <si>
    <t>一种获取最优导引符号功率的方法</t>
  </si>
  <si>
    <t>电子科技大学</t>
  </si>
  <si>
    <t>陈继明|张涵|邹波|唐友喜|李少谦</t>
  </si>
  <si>
    <t>陈继明</t>
  </si>
  <si>
    <t>2004/01/08</t>
  </si>
  <si>
    <t>2005/07/20</t>
  </si>
  <si>
    <t>H04J</t>
  </si>
  <si>
    <t>H04J 11/00</t>
  </si>
  <si>
    <t>发明</t>
  </si>
  <si>
    <t>CN</t>
  </si>
  <si>
    <t>5.89</t>
  </si>
  <si>
    <t>撤回</t>
  </si>
  <si>
    <t>11/129,140</t>
  </si>
  <si>
    <t>Channel structures for a quasi-orthogonal multiple-access communication system</t>
  </si>
  <si>
    <t>QUALCOMM Incorporated</t>
  </si>
  <si>
    <t>qualcomm</t>
  </si>
  <si>
    <t>Ji; Tingfang|Naguib; Ayman|Sutivong; Arak|Gore; Dhananjay Ashok|Gorokhov; Alexei</t>
  </si>
  <si>
    <t>Ji; Tingfang</t>
  </si>
  <si>
    <t>2005/03/16</t>
  </si>
  <si>
    <t>2005/05/13</t>
  </si>
  <si>
    <t>2013/05/21</t>
  </si>
  <si>
    <t>H04W</t>
  </si>
  <si>
    <t>H04W  4/00</t>
  </si>
  <si>
    <t>授权</t>
  </si>
  <si>
    <t>US</t>
  </si>
  <si>
    <t>1.50</t>
  </si>
  <si>
    <t>有效</t>
  </si>
  <si>
    <t>11/445,377</t>
  </si>
  <si>
    <t>Sphere decoding apparatus</t>
  </si>
  <si>
    <t>Sampath; Hemanth|Kadous; Tamer</t>
  </si>
  <si>
    <t>Sampath; Hemanth</t>
  </si>
  <si>
    <t>2005/06/01</t>
  </si>
  <si>
    <t>2006/05/31</t>
  </si>
  <si>
    <t>2013/06/11</t>
  </si>
  <si>
    <t>H04L</t>
  </si>
  <si>
    <t>H04L 27/28</t>
  </si>
  <si>
    <t>0.2</t>
  </si>
  <si>
    <t>11/943,551</t>
  </si>
  <si>
    <t>Acknowledgement of control messages in a wireless communication system</t>
  </si>
  <si>
    <t>Khandekar; Aamod|Gorokhov; Alexei|Agrawal; Avneesh|Rangan; Sundeep|Das; Arnab</t>
  </si>
  <si>
    <t>Khandekar; Aamod</t>
  </si>
  <si>
    <t>2006/12/04</t>
  </si>
  <si>
    <t>2007/11/20</t>
  </si>
  <si>
    <t>2013/07/02</t>
  </si>
  <si>
    <t>0.13</t>
  </si>
  <si>
    <t>12/791,702</t>
  </si>
  <si>
    <t>2010/06/01</t>
  </si>
  <si>
    <t>2013/10/01</t>
  </si>
  <si>
    <t>0.1</t>
  </si>
  <si>
    <t>11/260,931</t>
  </si>
  <si>
    <t>Puncturing signaling channel for a wireless communication system</t>
  </si>
  <si>
    <t>Gorokhov; Alexei|Dong; Min</t>
  </si>
  <si>
    <t>Gorokhov; Alexei</t>
  </si>
  <si>
    <t>2005/10/27</t>
  </si>
  <si>
    <t>2013/10/22</t>
  </si>
  <si>
    <t>H04B</t>
  </si>
  <si>
    <t>H04B  7/216</t>
  </si>
  <si>
    <t>5.10</t>
  </si>
  <si>
    <t>11/261,832</t>
  </si>
  <si>
    <t>Scalable frequency band operation in wireless communication systems</t>
  </si>
  <si>
    <t>Khandekar; Aamod|Gorokhov; Alexei|Agrawal; Avneesh|Vijayan; Rajiv|Teague; Edward Harrison|Ulupinar; Fatih</t>
  </si>
  <si>
    <t>2013/11/12</t>
  </si>
  <si>
    <t>H04Q</t>
  </si>
  <si>
    <t>H04Q  7/00</t>
  </si>
  <si>
    <t>0.15</t>
  </si>
  <si>
    <t>11/449,893</t>
  </si>
  <si>
    <t>Robust rank prediction for a MIMO system</t>
  </si>
  <si>
    <t>2005/06/16</t>
  </si>
  <si>
    <t>2006/06/09</t>
  </si>
  <si>
    <t>2013/12/03</t>
  </si>
  <si>
    <t>H04B  7/02</t>
  </si>
  <si>
    <t>1.75</t>
  </si>
  <si>
    <t>11/370,639</t>
  </si>
  <si>
    <t>Use of supplemental assignments to decrement resources</t>
  </si>
  <si>
    <t>Agrawal; Avneesh|Khandekar; Aamod|Gorokhov; Alexei|Teague; Edward Harrison</t>
  </si>
  <si>
    <t>Agrawal; Avneesh</t>
  </si>
  <si>
    <t>2005/05/31</t>
  </si>
  <si>
    <t>2006/03/07</t>
  </si>
  <si>
    <t>2013/12/17</t>
  </si>
  <si>
    <t>H04Q  1/00</t>
  </si>
  <si>
    <t>0.0</t>
  </si>
  <si>
    <t>11/260,932</t>
  </si>
  <si>
    <t>Varied transmission time intervals for wireless communication system</t>
  </si>
  <si>
    <t>Qualcomm Incorporated</t>
  </si>
  <si>
    <t>Gorokhov; Alexei|Teague; Edward H.|Khandekar; Aamod</t>
  </si>
  <si>
    <t>2005/08/24</t>
  </si>
  <si>
    <t>2014/02/04</t>
  </si>
  <si>
    <t>H04J  3/24</t>
  </si>
  <si>
    <t>1.17</t>
  </si>
  <si>
    <t>12/952,019</t>
  </si>
  <si>
    <t>Frequency division multiple access schemes for wireless communication</t>
  </si>
  <si>
    <t>Gore; Dhananjay Ashok|Palanki; Ravi</t>
  </si>
  <si>
    <t>Gore; Dhananjay Ashok</t>
  </si>
  <si>
    <t>2005/11/18</t>
  </si>
  <si>
    <t>2010/11/22</t>
  </si>
  <si>
    <t>2014/03/25</t>
  </si>
  <si>
    <t>H04B  7/208</t>
  </si>
  <si>
    <t>0.5</t>
  </si>
  <si>
    <t>11/261,837</t>
  </si>
  <si>
    <t>SDMA resource management</t>
  </si>
  <si>
    <t>Ji; Tingfang|Gore; Dhananjay Ashok|Gorokhov; Alexei|Dong; Min|Agrawal; Avneesh</t>
  </si>
  <si>
    <t>2014/04/08</t>
  </si>
  <si>
    <t>H04B  7/00</t>
  </si>
  <si>
    <t>0.54</t>
  </si>
  <si>
    <t>12/389,089</t>
  </si>
  <si>
    <t>Gorokhov; Alexei|Teague; Edward Harrison|Khandekar; Aamod</t>
  </si>
  <si>
    <t>2009/02/19</t>
  </si>
  <si>
    <t>2014/07/22</t>
  </si>
  <si>
    <t>0.3</t>
  </si>
  <si>
    <t>11/620,035</t>
  </si>
  <si>
    <t>Reverse link other sector communication</t>
  </si>
  <si>
    <t>Borran; Mohammad J.|Khandekar; Aamod|Ji; Tingfang</t>
  </si>
  <si>
    <t>Borran; Mohammad J.</t>
  </si>
  <si>
    <t>2006/01/05</t>
  </si>
  <si>
    <t>2007/01/04</t>
  </si>
  <si>
    <t>2014/09/09</t>
  </si>
  <si>
    <t>H04W 36/00</t>
  </si>
  <si>
    <t>13/178,357</t>
  </si>
  <si>
    <t>Khandekar; Aamod Dinkar|Gorokhov; Alexei Yurievitch|Agrawal; Avneesh|Vijayan; Rajiv|Teague; Edward Harrison|Ulupinar; Fatih</t>
  </si>
  <si>
    <t>Khandekar; Aamod Dinkar</t>
  </si>
  <si>
    <t>2011/07/07</t>
  </si>
  <si>
    <t>2014/09/23</t>
  </si>
  <si>
    <t>11/370,638</t>
  </si>
  <si>
    <t>Assignment acknowledgement for a wireless communication system</t>
  </si>
  <si>
    <t>Agrawal; Avneesh|Khandekar; Aamod|Gorokhov; Alexei</t>
  </si>
  <si>
    <t>2014/11/04</t>
  </si>
  <si>
    <t>H04L  5/00</t>
  </si>
  <si>
    <t>11/431,969</t>
  </si>
  <si>
    <t>Code division multiplexing in a single-carrier frequency division multiple access system</t>
  </si>
  <si>
    <t>Palanki; Ravi|Khandekar; Aamod|Sutivong; Arak</t>
  </si>
  <si>
    <t>Palanki; Ravi</t>
  </si>
  <si>
    <t>2005/08/08</t>
  </si>
  <si>
    <t>2006/05/10</t>
  </si>
  <si>
    <t>2014/11/11</t>
  </si>
  <si>
    <t>13/299,898</t>
  </si>
  <si>
    <t>Frequency hopping design for single carrier FDMA systems</t>
  </si>
  <si>
    <t>2005/04/19</t>
  </si>
  <si>
    <t>2011/11/18</t>
  </si>
  <si>
    <t>2014/12/23</t>
  </si>
  <si>
    <t>H04B  7/204</t>
  </si>
  <si>
    <t>11/209,246</t>
  </si>
  <si>
    <t>2005/08/22</t>
  </si>
  <si>
    <t>2015/05/19</t>
  </si>
  <si>
    <t>11/511,735</t>
  </si>
  <si>
    <t>Pilot symbol transmission in wireless communication systems</t>
  </si>
  <si>
    <t>Khandekar; Aamod|Agrawal; Avneesh|Gore; Dhananjay Ashok</t>
  </si>
  <si>
    <t>2006/08/28</t>
  </si>
  <si>
    <t>2015/07/21</t>
  </si>
  <si>
    <t>G11B</t>
  </si>
  <si>
    <t>G11B 17/04</t>
  </si>
  <si>
    <t>09/931,469</t>
  </si>
  <si>
    <t>OFDM communications methods and apparatus</t>
  </si>
  <si>
    <t>Laroia; Rajiv|Li; Junyi</t>
  </si>
  <si>
    <t>Laroia; Rajiv</t>
  </si>
  <si>
    <t>2000/09/13</t>
  </si>
  <si>
    <t>2001/08/16</t>
  </si>
  <si>
    <t>2015/09/08</t>
  </si>
  <si>
    <t>11/401,979</t>
  </si>
  <si>
    <t>Precoding and SDMA support</t>
  </si>
  <si>
    <t>Gorokhov; Alexei|Gore; Dhananjay Ashok|Barriac; Gwendolyn D.|Wang; Jibing|Kadous; Tamer</t>
  </si>
  <si>
    <t>2005/08/30</t>
  </si>
  <si>
    <t>2006/04/10</t>
  </si>
  <si>
    <t>2015/09/15</t>
  </si>
  <si>
    <t>H04W 72/00</t>
  </si>
  <si>
    <t>11/083,693</t>
  </si>
  <si>
    <t>Pilot signal transmission for an orthogonal frequency division wireless communication system</t>
  </si>
  <si>
    <t>Gorokhov; Alexei|Naguib; Ayman Fawzy|Sutivong; Arak|Gore; Dhananjay Ashok|Ji; Tingfang</t>
  </si>
  <si>
    <t>2005/03/17</t>
  </si>
  <si>
    <t>2015/09/22</t>
  </si>
  <si>
    <t>11/370,640</t>
  </si>
  <si>
    <t>Resource allocation for shared signaling channels</t>
  </si>
  <si>
    <t>Khandekar; Aamod|Gorokhov; Alexei</t>
  </si>
  <si>
    <t>H04W 72/04</t>
  </si>
  <si>
    <t>11/021,791</t>
  </si>
  <si>
    <t>Performance based rank prediction for MIMO design</t>
  </si>
  <si>
    <t>2004/12/22</t>
  </si>
  <si>
    <t>2015/09/29</t>
  </si>
  <si>
    <t>H04L  1/06</t>
  </si>
  <si>
    <t>11/233,844</t>
  </si>
  <si>
    <t>Systems and methods for beamforming feedback in multi antenna communication systems</t>
  </si>
  <si>
    <t>Sampath; Hemanth|Khandekar; Aamod|Gore; Dhananjay Ashok|Gorokhov; Alexei|Kadous; Tamer</t>
  </si>
  <si>
    <t>2005/03/24</t>
  </si>
  <si>
    <t>2005/09/21</t>
  </si>
  <si>
    <t>2015/10/06</t>
  </si>
  <si>
    <t>H04L 27/00</t>
  </si>
  <si>
    <t>11/261,064</t>
  </si>
  <si>
    <t>Method and apparatus for pre-coding frequency division duplexing system</t>
  </si>
  <si>
    <t>Wang; Jibing|Kadous; Tamer|Gore; Dhananjay Ashok</t>
  </si>
  <si>
    <t>Wang; Jibing</t>
  </si>
  <si>
    <t>2015/10/27</t>
  </si>
  <si>
    <t>H04J  1/00</t>
  </si>
  <si>
    <t>11/260,895</t>
  </si>
  <si>
    <t>Adaptive sectorization in cellular systems</t>
  </si>
  <si>
    <t>Gore; Dhananjay Ashok|Gorokhov; Alexei|Sampath; Hemanth|Ji; Tingfang|Kadous; Tamer</t>
  </si>
  <si>
    <t>2015/11/03</t>
  </si>
  <si>
    <t>H04M</t>
  </si>
  <si>
    <t>H04M  1/00</t>
  </si>
  <si>
    <t>11/261,836</t>
  </si>
  <si>
    <t>Systems and methods for control channel signaling</t>
  </si>
  <si>
    <t>Sampath; Hemanth|Gorokhov; Alexei|Khandekar; Aamod|Teague; Edward Harrison|Julian; David Jonathan|Kadous; Tamer|Sutivong; Arak</t>
  </si>
  <si>
    <t>2005/04/01</t>
  </si>
  <si>
    <t>2015/11/10</t>
  </si>
  <si>
    <t>H04B  7/14</t>
  </si>
  <si>
    <t>11/260,924</t>
  </si>
  <si>
    <t>Segment sensitive scheduling</t>
  </si>
  <si>
    <t>Gorokhov; Alexei|Ji; Tingfang</t>
  </si>
  <si>
    <t>2015/12/08</t>
  </si>
  <si>
    <t>11/261,065</t>
  </si>
  <si>
    <t>Method and apparatus for bootstraping information in a communication system</t>
  </si>
  <si>
    <t>Teague; Edward Harrison|Ulupinar; Fatih|Prakash; Rajat|Khandekar; Aamod</t>
  </si>
  <si>
    <t>Teague; Edward Harrison</t>
  </si>
  <si>
    <t>H04L 12/28</t>
  </si>
  <si>
    <t>11/261,806</t>
  </si>
  <si>
    <t>Varied signaling channels for a reverse link in a wireless communication system</t>
  </si>
  <si>
    <t>Gorokhov; Alexei|Khandekar; Aamod|Teague; Edward Harrison|Sampath; Hemanth</t>
  </si>
  <si>
    <t>2015/12/29</t>
  </si>
  <si>
    <t>11/261,158</t>
  </si>
  <si>
    <t>Shared signaling channel</t>
  </si>
  <si>
    <t>Khandekar; Aamod|Gorokhov; Alexei|Gore; Dhananjay Ashok|Teague; Edward Harrison|Dong; Min</t>
  </si>
  <si>
    <t>12/372,954</t>
  </si>
  <si>
    <t>Gorokhov; Alexei Y.|Ji; Tingfang</t>
  </si>
  <si>
    <t>Gorokhov; Alexei Y.</t>
  </si>
  <si>
    <t>2009/02/18</t>
  </si>
  <si>
    <t>2016/01/19</t>
  </si>
  <si>
    <t>11/186,697</t>
  </si>
  <si>
    <t>Systems and methods for beamforming and rate control in a multi-input multi-output communication systems</t>
  </si>
  <si>
    <t>Sampath; Hemanth|Kadous; Tamer|Gorokhov; Alexei|Gore; Dhananjay Ashok</t>
  </si>
  <si>
    <t>2005/03/10</t>
  </si>
  <si>
    <t>2016/01/26</t>
  </si>
  <si>
    <t>H04B  1/00</t>
  </si>
  <si>
    <t>0.4</t>
  </si>
  <si>
    <t>12/388,414</t>
  </si>
  <si>
    <t>H04B  3/10</t>
  </si>
  <si>
    <t>13/831,323</t>
  </si>
  <si>
    <t>Channel quality reporting for adaptive sectorization</t>
  </si>
  <si>
    <t>Gore; Dhananjay Ashok|Gorokhov; Alexei Yurievitch|Ji; Tingfang|Khandekar; Aamod Dinkar|Kadous; Tamer Adel</t>
  </si>
  <si>
    <t>2013/03/14</t>
  </si>
  <si>
    <t>2016/04/05</t>
  </si>
  <si>
    <t>H04W 72/08</t>
  </si>
  <si>
    <t>11/261,822</t>
  </si>
  <si>
    <t>Gore; Dhananjay Ashok|Gorokhov; Alexei|Ji; Tingfang|Khandekar; Aamod|Kadous; Tamer</t>
  </si>
  <si>
    <t>2016/08/02</t>
  </si>
  <si>
    <t>13/619,460</t>
  </si>
  <si>
    <t>Signaling method in an OFDM multiple access system</t>
  </si>
  <si>
    <t>Laroia; Rajiv|Li; Junyi|Uppala; Sathyadev Venkata</t>
  </si>
  <si>
    <t>2012/09/14</t>
  </si>
  <si>
    <t>2016/08/23</t>
  </si>
  <si>
    <t>H04L 27/26</t>
  </si>
  <si>
    <t>11/261,361</t>
  </si>
  <si>
    <t>2016/10/04</t>
  </si>
  <si>
    <t>11/083,708</t>
  </si>
  <si>
    <t>2016/12/13</t>
  </si>
  <si>
    <t>H04K</t>
  </si>
  <si>
    <t>H04K  1/10</t>
  </si>
  <si>
    <t>13/271,121</t>
  </si>
  <si>
    <t>Method and apparatus for providing antenna diversity in a wireless communication system</t>
  </si>
  <si>
    <t>Kadous; Tamer|Khandekar; Aamod|Gore; Dhananjay Ashok|Gorokhov; Alexei</t>
  </si>
  <si>
    <t>Kadous; Tamer</t>
  </si>
  <si>
    <t>2011/10/11</t>
  </si>
  <si>
    <t>2017/05/23</t>
  </si>
  <si>
    <t>H04B  7/06</t>
  </si>
  <si>
    <t>14/483,001</t>
  </si>
  <si>
    <t>Palanki; Ravi|Khandekar; Aamod Dinkar|Sutivong; Arak</t>
  </si>
  <si>
    <t>2014/09/10</t>
  </si>
  <si>
    <t>2017/06/27</t>
  </si>
  <si>
    <t>CN200680038527.7</t>
  </si>
  <si>
    <t>频段灵敏调度</t>
  </si>
  <si>
    <t>高通股份有限公司</t>
  </si>
  <si>
    <t>阿列克谢·戈罗霍夫|季庭方</t>
  </si>
  <si>
    <t>阿列克谢·戈罗霍夫</t>
  </si>
  <si>
    <t>2006/08/22</t>
  </si>
  <si>
    <t>2012/09/26</t>
  </si>
  <si>
    <t>H04L  5/02</t>
  </si>
  <si>
    <t>CN200510037617.1</t>
  </si>
  <si>
    <t>移动通信系统混合无线资源管理方法</t>
  </si>
  <si>
    <t>东南大学</t>
  </si>
  <si>
    <t>赵新胜|高西奇|尤肖虎</t>
  </si>
  <si>
    <t>赵新胜</t>
  </si>
  <si>
    <t>2005/01/06</t>
  </si>
  <si>
    <t>H04Q  7/34</t>
  </si>
  <si>
    <t>2.65</t>
  </si>
  <si>
    <t>11/020,457</t>
  </si>
  <si>
    <t>Efficient signaling over access channel</t>
  </si>
  <si>
    <t>Sutivong; Arak|Teague; Edward Harrison|Gorokhov; Alexei</t>
  </si>
  <si>
    <t>Sutivong; Arak</t>
  </si>
  <si>
    <t>2004/07/21</t>
  </si>
  <si>
    <t>H04B  7/212</t>
  </si>
  <si>
    <t>0.69</t>
  </si>
  <si>
    <t>CN201110412374.0</t>
  </si>
  <si>
    <t>用于无线通信系统的多样传输时间间隔</t>
  </si>
  <si>
    <t>阿列克谢·戈罗霍夫|爱德华·H·蒂格|阿莫德·卡恩德卡尔</t>
  </si>
  <si>
    <t>2006/08/24</t>
  </si>
  <si>
    <t>2015/09/16</t>
  </si>
  <si>
    <t>H04L  1/18</t>
  </si>
  <si>
    <t>CN201110412371.7</t>
  </si>
  <si>
    <t>用于无线通信系统的多样传输时间间隔的方法和设备</t>
  </si>
  <si>
    <t>2015/11/25</t>
  </si>
  <si>
    <t>CN200410062062.1</t>
  </si>
  <si>
    <t>在发送/接收天线的移动通信系统中调度用户的方法和设备</t>
  </si>
  <si>
    <t>三星电子株式会社|延世大学校</t>
  </si>
  <si>
    <t>三星电子株式会社|延世大学工业大学协力团</t>
  </si>
  <si>
    <t>李学周|李忠容|郑在学|黄赞洙</t>
  </si>
  <si>
    <t>李学周</t>
  </si>
  <si>
    <t>2003/08/07</t>
  </si>
  <si>
    <t>2004/06/28</t>
  </si>
  <si>
    <t>2005/03/09</t>
  </si>
  <si>
    <t>H04B  7/04</t>
  </si>
  <si>
    <t>KR</t>
  </si>
  <si>
    <t>48.81</t>
  </si>
  <si>
    <t>11/008,865</t>
  </si>
  <si>
    <t>Spatial spreading in a multi-antenna communication system</t>
  </si>
  <si>
    <t>Walton; Jay Rodney|Zheng; Lizhong|Ketchum; John W.|Wallace; Mark S.|Howard; Steven J.</t>
  </si>
  <si>
    <t>Walton; Jay Rodney</t>
  </si>
  <si>
    <t>2003/12/17</t>
  </si>
  <si>
    <t>2004/12/09</t>
  </si>
  <si>
    <t>2012/06/19</t>
  </si>
  <si>
    <t>4.25</t>
  </si>
  <si>
    <t>11/066,771</t>
  </si>
  <si>
    <t>Steering diversity for an OFDM-based multi-antenna communication system</t>
  </si>
  <si>
    <t>Lundby; Stein A.|Howard; Steven J.|Walton; Jay Rodney</t>
  </si>
  <si>
    <t>Lundby; Stein A.</t>
  </si>
  <si>
    <t>2004/05/07</t>
  </si>
  <si>
    <t>2005/02/24</t>
  </si>
  <si>
    <t>2012/10/09</t>
  </si>
  <si>
    <t>H03C</t>
  </si>
  <si>
    <t>H03C  7/02</t>
  </si>
  <si>
    <t>1.91</t>
  </si>
  <si>
    <t>11/750,220</t>
  </si>
  <si>
    <t>Derivation and feedback of transmit steering matrix</t>
  </si>
  <si>
    <t>Howard; Steven J.|Ketchum; John W.|Wallace; Mark S.|Walton; J. Rodney</t>
  </si>
  <si>
    <t>Howard; Steven J.</t>
  </si>
  <si>
    <t>2006/05/22</t>
  </si>
  <si>
    <t>2007/05/17</t>
  </si>
  <si>
    <t>2012/10/16</t>
  </si>
  <si>
    <t>H03K</t>
  </si>
  <si>
    <t>H03K  9/00</t>
  </si>
  <si>
    <t>0.25</t>
  </si>
  <si>
    <t>12/815,870</t>
  </si>
  <si>
    <t>Data transmission with spatial spreading in a MIMO communication system</t>
  </si>
  <si>
    <t>Walton; Jay Rodney|Ketchum; John W.|Wallace; Mark S.|Howard; Steven J.</t>
  </si>
  <si>
    <t>2010/06/15</t>
  </si>
  <si>
    <t>2012/12/04</t>
  </si>
  <si>
    <t>0.51</t>
  </si>
  <si>
    <t>13/461,707</t>
  </si>
  <si>
    <t>Transmit diversity and spatial spreading for an OFDM-based multi-antenna communication system</t>
  </si>
  <si>
    <t>Walton; Jay Rodney|Ketchum; John Wendell|Wallace; Mark S.|Howard; Steven J.|Nanda; Sanjiv</t>
  </si>
  <si>
    <t>2004/03/05</t>
  </si>
  <si>
    <t>2012/05/01</t>
  </si>
  <si>
    <t>2013/08/27</t>
  </si>
  <si>
    <t>H04J 11/10</t>
  </si>
  <si>
    <t>0.28</t>
  </si>
  <si>
    <t>11/481,705</t>
  </si>
  <si>
    <t>Reduced complexity beam-steered MIMO OFDM system</t>
  </si>
  <si>
    <t>Howard; Steven J.|Ketchum; John W.|Wallace; Mark S.|Walton; Jay Rodney</t>
  </si>
  <si>
    <t>2006/04/24</t>
  </si>
  <si>
    <t>2006/07/05</t>
  </si>
  <si>
    <t>2013/09/24</t>
  </si>
  <si>
    <t>0.98</t>
  </si>
  <si>
    <t>12/534,137</t>
  </si>
  <si>
    <t>Unified MIMO transmission and reception</t>
  </si>
  <si>
    <t>Howard; Steven J.|Walton; Jay Rodney|Wallace; Mark S.</t>
  </si>
  <si>
    <t>2004/07/15</t>
  </si>
  <si>
    <t>2009/08/02</t>
  </si>
  <si>
    <t>2014/07/01</t>
  </si>
  <si>
    <t>13/793,520</t>
  </si>
  <si>
    <t>2013/03/11</t>
  </si>
  <si>
    <t>2014/09/02</t>
  </si>
  <si>
    <t>13/526,160</t>
  </si>
  <si>
    <t>2012/06/18</t>
  </si>
  <si>
    <t>2014/12/02</t>
  </si>
  <si>
    <t>12/533,765</t>
  </si>
  <si>
    <t>Continuous beamforming for a MIMO-OFDM system</t>
  </si>
  <si>
    <t>2009/07/31</t>
  </si>
  <si>
    <t>2014/12/09</t>
  </si>
  <si>
    <t>0.31</t>
  </si>
  <si>
    <t>11/050,897</t>
  </si>
  <si>
    <t>2005/02/03</t>
  </si>
  <si>
    <t>2014/12/30</t>
  </si>
  <si>
    <t>14/523,450</t>
  </si>
  <si>
    <t>2014/10/24</t>
  </si>
  <si>
    <t>2017/10/10</t>
  </si>
  <si>
    <t>CN200780018821.6</t>
  </si>
  <si>
    <t>发射引导矩阵的推导和反馈</t>
  </si>
  <si>
    <t>S·J·霍华德|J·W·凯淳|M·S·华莱仕|R·J·沃尔顿</t>
  </si>
  <si>
    <t>S·J·霍华德</t>
  </si>
  <si>
    <t>2007/05/22</t>
  </si>
  <si>
    <t>2013/05/29</t>
  </si>
  <si>
    <t>CN201080034283.1</t>
  </si>
  <si>
    <t>无线通信的信道状态信息的分层反馈</t>
  </si>
  <si>
    <t>S·马利克|A·Y·戈罗霍夫</t>
  </si>
  <si>
    <t>S·马利克</t>
  </si>
  <si>
    <t>2009/08/04</t>
  </si>
  <si>
    <t>2010/08/04</t>
  </si>
  <si>
    <t>2014/12/03</t>
  </si>
  <si>
    <t>H04L 25/02</t>
  </si>
  <si>
    <t>2012/05/23</t>
  </si>
  <si>
    <t>CN200810047029.X</t>
  </si>
  <si>
    <t>一种可配置可重构的动态混频器</t>
  </si>
  <si>
    <t>华中科技大学</t>
  </si>
  <si>
    <t>刘政林|邹雪城|蔡  梦</t>
  </si>
  <si>
    <t>刘政林</t>
  </si>
  <si>
    <t>2008/03/07</t>
  </si>
  <si>
    <t>2008/08/13</t>
  </si>
  <si>
    <t>H03D</t>
  </si>
  <si>
    <t>H03D  7/16</t>
  </si>
  <si>
    <t>3.6</t>
  </si>
  <si>
    <t>13/584,292</t>
  </si>
  <si>
    <t>Receiver for imbalanced carriers</t>
  </si>
  <si>
    <t>Fernando; Udara C.</t>
  </si>
  <si>
    <t>2012/04/06</t>
  </si>
  <si>
    <t>2012/08/13</t>
  </si>
  <si>
    <t>2015/08/25</t>
  </si>
  <si>
    <t>H04L 12/26</t>
  </si>
  <si>
    <t>13/172,660</t>
  </si>
  <si>
    <t>Receiver with bypass mode for improved sensitivity</t>
  </si>
  <si>
    <t>Gudem; Prasad Srinivasa Siva|Kadous; Tamer Adel|Verma; Sumit|Chang; Li-chung</t>
  </si>
  <si>
    <t>Gudem; Prasad Srinivasa Siva</t>
  </si>
  <si>
    <t>2011/06/29</t>
  </si>
  <si>
    <t>0.10</t>
  </si>
  <si>
    <t>13/590,423</t>
  </si>
  <si>
    <t>Low noise amplifiers for carrier aggregation</t>
  </si>
  <si>
    <t>Tasic; Aleksandar Miodrag|Davierwalla; Anosh Bomi</t>
  </si>
  <si>
    <t>Tasic; Aleksandar Miodrag</t>
  </si>
  <si>
    <t>2012/05/25</t>
  </si>
  <si>
    <t>2012/08/21</t>
  </si>
  <si>
    <t>H04L 27/06</t>
  </si>
  <si>
    <t>1.27</t>
  </si>
  <si>
    <t>13/593,764</t>
  </si>
  <si>
    <t>Multiple-input multiple-output (MIMO) low noise amplifiers for carrier aggregation</t>
  </si>
  <si>
    <t>Tasic; Aleksandar Miodrag|Davierwalla; Anosh Bomi|Cetinoneri; Berke|Kim; Jusung|Narathong; Chiewcharn|van Zalinge; Klaas|Sahota; Gurkanwal Singh|Jaffee; James Ian</t>
  </si>
  <si>
    <t>2012/08/24</t>
  </si>
  <si>
    <t>H04B  1/18</t>
  </si>
  <si>
    <t>0.23</t>
  </si>
  <si>
    <t>13/608,777</t>
  </si>
  <si>
    <t>Low noise amplifiers with cascode divert switch for carrier aggregation</t>
  </si>
  <si>
    <t>Davierwalla; Anosh Bomi|Tasic; Aleksandar Miodrag</t>
  </si>
  <si>
    <t>Davierwalla; Anosh Bomi</t>
  </si>
  <si>
    <t>2012/09/10</t>
  </si>
  <si>
    <t>2015/10/13</t>
  </si>
  <si>
    <t>H04B  1/06</t>
  </si>
  <si>
    <t>13/599,919</t>
  </si>
  <si>
    <t>Low noise amplifiers with transformer-based signal splitting for carrier aggregation</t>
  </si>
  <si>
    <t>2012/08/30</t>
  </si>
  <si>
    <t>2015/10/20</t>
  </si>
  <si>
    <t>H04B  1/16</t>
  </si>
  <si>
    <t>0.21</t>
  </si>
  <si>
    <t>13/411,467</t>
  </si>
  <si>
    <t>Multiple-input and multiple-output carrier aggregation receiver reuse architecture</t>
  </si>
  <si>
    <t>Gudem; Prasad Srinivasa Siva|He; Xiaoyin|Kadous; Tamer Adel|Chang; Li-Chung</t>
  </si>
  <si>
    <t>2012/03/02</t>
  </si>
  <si>
    <t>0.11</t>
  </si>
  <si>
    <t>13/411,463</t>
  </si>
  <si>
    <t>Non-adjacent carrier aggregation architecture</t>
  </si>
  <si>
    <t>2011/05/17</t>
  </si>
  <si>
    <t>H04H</t>
  </si>
  <si>
    <t>H04H 20/67</t>
  </si>
  <si>
    <t>0.14</t>
  </si>
  <si>
    <t>13/411,461</t>
  </si>
  <si>
    <t>Signal splitting carrier aggregation receiver architecture</t>
  </si>
  <si>
    <t>Gudem; Prasad Srinivasa Siva|Fernando; Udara C.|Chang; Li-Chung</t>
  </si>
  <si>
    <t>2011/06/27</t>
  </si>
  <si>
    <t>2016/02/02</t>
  </si>
  <si>
    <t>H04B  1/3805</t>
  </si>
  <si>
    <t>13/609,532</t>
  </si>
  <si>
    <t>Carrier aggregation receiver architecture</t>
  </si>
  <si>
    <t>Chang; Li-Chung|Gudem; Prasad Srinivasa Siva|Bossu; Frederic|Holenstein; Christian</t>
  </si>
  <si>
    <t>Chang; Li-Chung</t>
  </si>
  <si>
    <t>2012/09/11</t>
  </si>
  <si>
    <t>2016/03/29</t>
  </si>
  <si>
    <t>H04J  3/02</t>
  </si>
  <si>
    <t>13/411,444</t>
  </si>
  <si>
    <t>Single chip signal splitting carrier aggregation receiver architecture</t>
  </si>
  <si>
    <t>Gudem; Prasad Srinivasa Siva|Sahota; Gurkanwal Singh|Chang; Li-chung|Holenstein; Christian|Bossu; Frederic</t>
  </si>
  <si>
    <t>2016/06/07</t>
  </si>
  <si>
    <t>11/548,596</t>
  </si>
  <si>
    <t>Diversity receiver for wireless communication</t>
  </si>
  <si>
    <t>Sampson; Wesley Alan|Hadjichristos; Aristotele|Sahota; Gurkanwal S</t>
  </si>
  <si>
    <t>Sampson; Wesley Alan</t>
  </si>
  <si>
    <t>2006/10/11</t>
  </si>
  <si>
    <t>2016/09/20</t>
  </si>
  <si>
    <t>H04B  7/10</t>
  </si>
  <si>
    <t>0.6</t>
  </si>
  <si>
    <t>13/656,904</t>
  </si>
  <si>
    <t>Amplifiers with noise splitting</t>
  </si>
  <si>
    <t>Xu; Rui|Chang; Li-Chung</t>
  </si>
  <si>
    <t>Xu; Rui</t>
  </si>
  <si>
    <t>2012/10/22</t>
  </si>
  <si>
    <t>2017/01/10</t>
  </si>
  <si>
    <t>CN200610148159.3</t>
  </si>
  <si>
    <t>一种支持无线充电的半有源射频识别标签</t>
  </si>
  <si>
    <t>复旦大学</t>
  </si>
  <si>
    <t>车文毅|闫  娜|闵  昊</t>
  </si>
  <si>
    <t>车文毅</t>
  </si>
  <si>
    <t>2006/12/28</t>
  </si>
  <si>
    <t>2007/07/11</t>
  </si>
  <si>
    <t>G06K</t>
  </si>
  <si>
    <t>G06K 19/077</t>
  </si>
  <si>
    <t>4.72</t>
  </si>
  <si>
    <t>无效</t>
  </si>
  <si>
    <t>12/267,041</t>
  </si>
  <si>
    <t>Wireless power transfer for appliances and equipments</t>
  </si>
  <si>
    <t>Kirby; Miles A.|Grob; Matthew S.|Ozaki; Ernest T.|Jacobs; Paul E.|Von Novak; William H.|Mohammadian; Alireza Hormoz|Toncich; Stanley S.</t>
  </si>
  <si>
    <t>Kirby; Miles A.</t>
  </si>
  <si>
    <t>2008/05/13</t>
  </si>
  <si>
    <t>2008/11/07</t>
  </si>
  <si>
    <t>2013/07/16</t>
  </si>
  <si>
    <t>H01F</t>
  </si>
  <si>
    <t>H01F 21/00</t>
  </si>
  <si>
    <t>3.88</t>
  </si>
  <si>
    <t>12/266,520</t>
  </si>
  <si>
    <t>Repeaters for enhancement of wireless power transfer</t>
  </si>
  <si>
    <t>Mohammadian; Alireza Hormoz|Ozaki; Ernest T.|Grob; Matthew S.</t>
  </si>
  <si>
    <t>Mohammadian; Alireza Hormoz</t>
  </si>
  <si>
    <t>2008/11/06</t>
  </si>
  <si>
    <t>H04B  5/00</t>
  </si>
  <si>
    <t>0.63</t>
  </si>
  <si>
    <t>12/572,371</t>
  </si>
  <si>
    <t>Conveying device information relating to wireless charging</t>
  </si>
  <si>
    <t>Kirby; Miles Alexander Lyell|Keating; Virginia Walker|Burdo; Rinat|Ozaki; Ernest T.</t>
  </si>
  <si>
    <t>Kirby; Miles Alexander Lyell</t>
  </si>
  <si>
    <t>2009/02/10</t>
  </si>
  <si>
    <t>2009/10/02</t>
  </si>
  <si>
    <t>2014/10/07</t>
  </si>
  <si>
    <t>G08B</t>
  </si>
  <si>
    <t>G08B 21/00</t>
  </si>
  <si>
    <t>0.35</t>
  </si>
  <si>
    <t>12/572,400</t>
  </si>
  <si>
    <t>Wireless power transfer for vehicles</t>
  </si>
  <si>
    <t>Kirby; Miles Alexander Lyell|Burdo; Rinat|Keating; Virginia Walker|Grob; Matthew Stuart|Heilsberg; Stuart|Mangan; Michael|Ozaki; Ernest</t>
  </si>
  <si>
    <t>H01F 27/42</t>
  </si>
  <si>
    <t>1.99</t>
  </si>
  <si>
    <t>14/107,837</t>
  </si>
  <si>
    <t>2013/12/16</t>
  </si>
  <si>
    <t>2014/11/18</t>
  </si>
  <si>
    <t>12/249,873</t>
  </si>
  <si>
    <t>Reverse link signaling via receive antenna impedance modulation</t>
  </si>
  <si>
    <t>Toncich; Stanley Slavko|Von Novak; William H.</t>
  </si>
  <si>
    <t>Toncich; Stanley Slavko</t>
  </si>
  <si>
    <t>2008/10/10</t>
  </si>
  <si>
    <t>2015/02/24</t>
  </si>
  <si>
    <t>12/249,866</t>
  </si>
  <si>
    <t>Signaling charging in wireless power environment</t>
  </si>
  <si>
    <t>12/249,881</t>
  </si>
  <si>
    <t>Receive antenna for wireless power transfer</t>
  </si>
  <si>
    <t>QUALCOMM INCORPORATED</t>
  </si>
  <si>
    <t>Mohammadian; Alireza Hormoz|Kasturi; Sreenivas|Kirby; Miles Alexander Lyell|Ozaki; Ernest T.|Toncich; Stanley Slavko|Tran; Allen Minh-Triet</t>
  </si>
  <si>
    <t>H02J</t>
  </si>
  <si>
    <t>H02J  7/00</t>
  </si>
  <si>
    <t>12/572,411</t>
  </si>
  <si>
    <t>Wireless power transfer for furnishings and building elements</t>
  </si>
  <si>
    <t>Kirby; Miles A|Burdo; Rinat|Keating; Virginia W|Ozaki; Ernest T|Mangan; Michael J|Von Novak; William H</t>
  </si>
  <si>
    <t>Kirby; Miles A</t>
  </si>
  <si>
    <t>12/266,525</t>
  </si>
  <si>
    <t>Method and apparatus with negative resistance in wireless power transfers</t>
  </si>
  <si>
    <t>2015/11/17</t>
  </si>
  <si>
    <t>H02J 17/00</t>
  </si>
  <si>
    <t>12/266,522</t>
  </si>
  <si>
    <t>Method and apparatus for adaptive tuning of wireless power transfer</t>
  </si>
  <si>
    <t>Toncich; Stanley S.|Ozaki; Ernest T.|Mohammadian; Alireza H.</t>
  </si>
  <si>
    <t>Toncich; Stanley S.</t>
  </si>
  <si>
    <t>2016/01/12</t>
  </si>
  <si>
    <t>12/567,339</t>
  </si>
  <si>
    <t>Systems and methods relating to multi-dimensional wireless charging</t>
  </si>
  <si>
    <t>Ozaki; Ernest T.|Burdo; Rinat|Farahani; Shahin</t>
  </si>
  <si>
    <t>Ozaki; Ernest T.</t>
  </si>
  <si>
    <t>2009/09/25</t>
  </si>
  <si>
    <t>2016/04/12</t>
  </si>
  <si>
    <t>13/765,564</t>
  </si>
  <si>
    <t>Wireless power transfer for portable enclosures</t>
  </si>
  <si>
    <t>Kirby; Miles A.|Von Novak; William H.|Mangan; Michael J.</t>
  </si>
  <si>
    <t>2013/02/12</t>
  </si>
  <si>
    <t>2017/02/28</t>
  </si>
  <si>
    <t>CN03119029.4</t>
  </si>
  <si>
    <t>微机电系统后封装工艺</t>
  </si>
  <si>
    <t>刘胜|张鸿海|易新建|汪学方|陈四海</t>
  </si>
  <si>
    <t>刘胜</t>
  </si>
  <si>
    <t>2003/04/30</t>
  </si>
  <si>
    <t>2003/10/22</t>
  </si>
  <si>
    <t>B81C</t>
  </si>
  <si>
    <t>B81C  5/00</t>
  </si>
  <si>
    <t>3.37</t>
  </si>
  <si>
    <t>11/090,491</t>
  </si>
  <si>
    <t>Method and device for providing electronic circuitry on a backplate</t>
  </si>
  <si>
    <t>QUALCOMM MEMS Technologies, Inc.</t>
  </si>
  <si>
    <t>Tyger; Karen</t>
  </si>
  <si>
    <t>2004/09/27</t>
  </si>
  <si>
    <t>2005/03/25</t>
  </si>
  <si>
    <t>2010/02/23</t>
  </si>
  <si>
    <t>G02B</t>
  </si>
  <si>
    <t>G02B  6/12</t>
  </si>
  <si>
    <t>3.64</t>
  </si>
  <si>
    <t>11/074,253</t>
  </si>
  <si>
    <t>Device having patterned spacers for backplates and method of making the same</t>
  </si>
  <si>
    <t>Floyd; Philip D.|Arbuckle; Brian W.</t>
  </si>
  <si>
    <t>Floyd; Philip D.</t>
  </si>
  <si>
    <t>2005/03/07</t>
  </si>
  <si>
    <t>2010/04/20</t>
  </si>
  <si>
    <t>G02B 26/00</t>
  </si>
  <si>
    <t>0.95</t>
  </si>
  <si>
    <t>11/734,730</t>
  </si>
  <si>
    <t>MEMS devices and processes for packaging such devices</t>
  </si>
  <si>
    <t>Natarajan; Bangalore R.|Ganti; Surya</t>
  </si>
  <si>
    <t>Natarajan; Bangalore R.</t>
  </si>
  <si>
    <t>2006/04/13</t>
  </si>
  <si>
    <t>2007/04/12</t>
  </si>
  <si>
    <t>2010/06/29</t>
  </si>
  <si>
    <t>1.36</t>
  </si>
  <si>
    <t>12/710,135</t>
  </si>
  <si>
    <t>2010/02/22</t>
  </si>
  <si>
    <t>2011/04/26</t>
  </si>
  <si>
    <t>G02B  6/26</t>
  </si>
  <si>
    <t>0.68</t>
  </si>
  <si>
    <t>12/343,016</t>
  </si>
  <si>
    <t>Optical interference display panel</t>
  </si>
  <si>
    <t>Qualcomm MEMS Technologies, Inc.</t>
  </si>
  <si>
    <t>Tsai; Hsiung-Kuang</t>
  </si>
  <si>
    <t>2003/08/15</t>
  </si>
  <si>
    <t>2008/12/23</t>
  </si>
  <si>
    <t>2011/07/12</t>
  </si>
  <si>
    <t>TW</t>
  </si>
  <si>
    <t>12/463,312</t>
  </si>
  <si>
    <t>Optical interference display panel and manufacturing method thereof</t>
  </si>
  <si>
    <t>Lin; Wen-Jian|Arbuckle; Brian|Gally; Brian|Floyd; Philip|Palmateer; Lauren</t>
  </si>
  <si>
    <t>Lin; Wen-Jian</t>
  </si>
  <si>
    <t>2003/08/18</t>
  </si>
  <si>
    <t>2009/05/08</t>
  </si>
  <si>
    <t>2011/08/23</t>
  </si>
  <si>
    <t>12/192,908</t>
  </si>
  <si>
    <t>Method and device for packaging a substrate</t>
  </si>
  <si>
    <t>Palmateer; Lauren|Cummings; William J.|Gally; Brian|Miles; Mark|Sampsell; Jeffrey B.|Chui; Clarence|Kothari; Manish</t>
  </si>
  <si>
    <t>Palmateer; Lauren</t>
  </si>
  <si>
    <t>2008/08/15</t>
  </si>
  <si>
    <t>2011/10/25</t>
  </si>
  <si>
    <t>G02B  6/00</t>
  </si>
  <si>
    <t>0.64</t>
  </si>
  <si>
    <t>13/092,431</t>
  </si>
  <si>
    <t>2011/04/22</t>
  </si>
  <si>
    <t>2012/01/03</t>
  </si>
  <si>
    <t>0.19</t>
  </si>
  <si>
    <t>12/423,531</t>
  </si>
  <si>
    <t>Method and system for packaging a MEMS device</t>
  </si>
  <si>
    <t>Miles; Mark W.|Sampsell; Jeffrey B.</t>
  </si>
  <si>
    <t>Miles; Mark W.</t>
  </si>
  <si>
    <t>2009/04/14</t>
  </si>
  <si>
    <t>2012/02/14</t>
  </si>
  <si>
    <t>11/150,496</t>
  </si>
  <si>
    <t>Method and system for packaging a display</t>
  </si>
  <si>
    <t>Gally; Brian J.|Cummings; William J.|Palmateer; Lauren|Floyd; Philip D.|Chui; Clarence</t>
  </si>
  <si>
    <t>Gally; Brian J.</t>
  </si>
  <si>
    <t>2005/06/10</t>
  </si>
  <si>
    <t>2012/02/28</t>
  </si>
  <si>
    <t>2.5</t>
  </si>
  <si>
    <t>12/605,246</t>
  </si>
  <si>
    <t>Light-based sealing and device packaging</t>
  </si>
  <si>
    <t>Bita; Ion|Hong; John H.|Alam; Khurshid S.</t>
  </si>
  <si>
    <t>Bita; Ion</t>
  </si>
  <si>
    <t>2009/10/23</t>
  </si>
  <si>
    <t>2013/02/19</t>
  </si>
  <si>
    <t>H05K</t>
  </si>
  <si>
    <t>H05K  7/00</t>
  </si>
  <si>
    <t>13/231,640</t>
  </si>
  <si>
    <t>QUALCOMM Mems Technologies, Inc.</t>
  </si>
  <si>
    <t>2011/09/13</t>
  </si>
  <si>
    <t>CN200510105835.4</t>
  </si>
  <si>
    <t>使用具有非平坦部分的背板保护微机电系统阵列的系统和方法</t>
  </si>
  <si>
    <t>高通MEMS科技公司</t>
  </si>
  <si>
    <t>布莱恩·J·加利|洛朗·帕尔马蒂尔|威廉·J·卡明斯</t>
  </si>
  <si>
    <t>布莱恩·J·加利</t>
  </si>
  <si>
    <t>2005/09/23</t>
  </si>
  <si>
    <t>2013/02/13</t>
  </si>
  <si>
    <t>B81B</t>
  </si>
  <si>
    <t>B81B  3/00</t>
  </si>
  <si>
    <t>CN03129313.1</t>
  </si>
  <si>
    <t>矩阵像素器件投影显示器的三色会聚方法</t>
  </si>
  <si>
    <t>浙江大学|杭州浙大科特光电科技有限公司</t>
  </si>
  <si>
    <t>浙江大学|浙江大学</t>
  </si>
  <si>
    <t>刘旭|邱胜根|刘向东|李海峰</t>
  </si>
  <si>
    <t>刘旭</t>
  </si>
  <si>
    <t>2003/06/12</t>
  </si>
  <si>
    <t>2004/04/21</t>
  </si>
  <si>
    <t>H04N</t>
  </si>
  <si>
    <t>H04N  5/74</t>
  </si>
  <si>
    <t>0.42</t>
  </si>
  <si>
    <t>14/090,702</t>
  </si>
  <si>
    <t>MEMS anchors</t>
  </si>
  <si>
    <t>Pixtronix, Inc.</t>
  </si>
  <si>
    <t>Wu; Joyce H.|Andersson; Mark B.|Steyn; Jasper Lodewyk</t>
  </si>
  <si>
    <t>Wu; Joyce H.</t>
  </si>
  <si>
    <t>2008/10/27</t>
  </si>
  <si>
    <t>2013/11/26</t>
  </si>
  <si>
    <t>G02B 26/08</t>
  </si>
  <si>
    <t>14/012,505</t>
  </si>
  <si>
    <t>Mechanical light modulators with stressed beams</t>
  </si>
  <si>
    <t>Steyn; Jasper Lodewyk|Brosnihan; Timothy J.|Wu; Joyce H.|Andersson; Mark B.|Payne; Richard S.|Fijol; John J.|Barton; Roger W.|Hagood, IV; Nesbitt W.</t>
  </si>
  <si>
    <t>Steyn; Jasper Lodewyk</t>
  </si>
  <si>
    <t>2013/08/28</t>
  </si>
  <si>
    <t>13/800,151</t>
  </si>
  <si>
    <t>Display apparatus with narrow gap electrostatic actuators</t>
  </si>
  <si>
    <t>Ni Chleirigh; Cait|Andersson; Mark B.|Dunn; Tyler|Wu; Joyce H.</t>
  </si>
  <si>
    <t>Ni Chleirigh; Cait</t>
  </si>
  <si>
    <t>2013/03/13</t>
  </si>
  <si>
    <t>13/597,943</t>
  </si>
  <si>
    <t>Direct-view MEMS display devices and methods for generating images thereon</t>
  </si>
  <si>
    <t>Hagood, IV; Nesbitt W.|Gandhi; Jignesh|McAllister; Abraham|Malzbender; Rainer M.|Lewis; Stephen R.</t>
  </si>
  <si>
    <t>Hagood, IV; Nesbitt W.</t>
  </si>
  <si>
    <t>2005/02/23</t>
  </si>
  <si>
    <t>2012/08/29</t>
  </si>
  <si>
    <t>G09G</t>
  </si>
  <si>
    <t>G09G  3/34</t>
  </si>
  <si>
    <t>11/326,696</t>
  </si>
  <si>
    <t>Display methods and apparatus</t>
  </si>
  <si>
    <t>Hagood; Nesbitt W.|McAllister; Abraham|Lewis; Stephen R.|Barton; Roger W.</t>
  </si>
  <si>
    <t>Hagood; Nesbitt W.</t>
  </si>
  <si>
    <t>2006/01/06</t>
  </si>
  <si>
    <t>G09G  3/20</t>
  </si>
  <si>
    <t>13/975,841</t>
  </si>
  <si>
    <t>Circuits for controlling display apparatus</t>
  </si>
  <si>
    <t>Hagood; Nesbitt W.|Lewis; Stephen R.|McAllister; Abraham|Barton; Roger W.</t>
  </si>
  <si>
    <t>2013/08/26</t>
  </si>
  <si>
    <t>13/123,859</t>
  </si>
  <si>
    <t>Manufacturing structure and process for compliant mechanisms</t>
  </si>
  <si>
    <t>Brosnihan; Timothy J.|Andersson; Mark B.</t>
  </si>
  <si>
    <t>Brosnihan; Timothy J.</t>
  </si>
  <si>
    <t>2009/10/27</t>
  </si>
  <si>
    <t>11/975,397</t>
  </si>
  <si>
    <t>Alignment methods in fluid-filled MEMS displays</t>
  </si>
  <si>
    <t>Hagood; Nesbitt W.|Fijol; John J.|Steyn; Jasper Lodewyk|Payne; Richard S.|Gandhi; Jignesh</t>
  </si>
  <si>
    <t>2007/10/19</t>
  </si>
  <si>
    <t>2016/01/05</t>
  </si>
  <si>
    <t>12/985,196</t>
  </si>
  <si>
    <t>Display apparatus and methods for manufacture thereof</t>
  </si>
  <si>
    <t>Payne; Richard S.|Kim; Je Hong|Gandhi; Jignesh|Andersson; Mark B.|Villarreal; Javier</t>
  </si>
  <si>
    <t>Payne; Richard S.</t>
  </si>
  <si>
    <t>2011/01/05</t>
  </si>
  <si>
    <t>2016/02/16</t>
  </si>
  <si>
    <t>0.7</t>
  </si>
  <si>
    <t>13/599,734</t>
  </si>
  <si>
    <t>Hagood, IV; Nesbitt W.|Fijol; John J.|Steyn; Jasper Lodewyk|Payne; Richard S.|Gandhi; Jignesh</t>
  </si>
  <si>
    <t>2016/03/01</t>
  </si>
  <si>
    <t>H01L</t>
  </si>
  <si>
    <t>H01L 33/00</t>
  </si>
  <si>
    <t>13/617,112</t>
  </si>
  <si>
    <t>Hagood, IV; Nesbitt W.|Lewis; Stephen R.|McAllister; Abraham|Barton; Roger W.|Payne; Richard S.|Steyn; Jasper Lodewyk</t>
  </si>
  <si>
    <t>2016/05/10</t>
  </si>
  <si>
    <t>13/617,284</t>
  </si>
  <si>
    <t>MEMS-based display apparatus</t>
  </si>
  <si>
    <t>SnapTrack, Inc.</t>
  </si>
  <si>
    <t>Hagood, IV; Nesbitt W.|Steyn; Jasper Lodewyk|Brosnihan; Timothy J.|Gandhi; Jignesh|Fijol; John J.|Payne; Richard S.|Barton; Roger</t>
  </si>
  <si>
    <t>2016/11/22</t>
  </si>
  <si>
    <t>CN200910032241.3</t>
  </si>
  <si>
    <t>环形孔径超薄光学成像系统</t>
  </si>
  <si>
    <t>苏州大学</t>
  </si>
  <si>
    <t>沈为民|张蕊蕊</t>
  </si>
  <si>
    <t>沈为民</t>
  </si>
  <si>
    <t>2009/06/09</t>
  </si>
  <si>
    <t>2009/11/18</t>
  </si>
  <si>
    <t>G02B 17/08</t>
  </si>
  <si>
    <t>0.22</t>
  </si>
  <si>
    <t>14/571,149</t>
  </si>
  <si>
    <t>Multi-camera system using folded optics free from parallax and tilt artifacts</t>
  </si>
  <si>
    <t>Georgiev; Todor Georgiev|Goma; Sergiu Radu</t>
  </si>
  <si>
    <t>Georgiev; Todor Georgiev</t>
  </si>
  <si>
    <t>2014/06/20</t>
  </si>
  <si>
    <t>2014/12/15</t>
  </si>
  <si>
    <t>2016/03/22</t>
  </si>
  <si>
    <t>H04N  7/00</t>
  </si>
  <si>
    <t>14/526,104</t>
  </si>
  <si>
    <t>Auto-focus in low-profile folded optics multi-camera system</t>
  </si>
  <si>
    <t>Osborne; Thomas Wesley</t>
  </si>
  <si>
    <t>2014/04/04</t>
  </si>
  <si>
    <t>2014/10/28</t>
  </si>
  <si>
    <t>2016/06/21</t>
  </si>
  <si>
    <t>H04N  5/225</t>
  </si>
  <si>
    <t>14/676,669</t>
  </si>
  <si>
    <t>2015/04/01</t>
  </si>
  <si>
    <t>2016/07/05</t>
  </si>
  <si>
    <t>G02B 13/00</t>
  </si>
  <si>
    <t>14/611,045</t>
  </si>
  <si>
    <t>Multi-camera system using folded optics free from parallax artifacts</t>
  </si>
  <si>
    <t>Georgiev; Todor Georgiev|Osborne; Thomas Wesley|Goma; Sergiu Radu</t>
  </si>
  <si>
    <t>2015/01/30</t>
  </si>
  <si>
    <t>13/837,098</t>
  </si>
  <si>
    <t>Multi-camera system using folded optics</t>
  </si>
  <si>
    <t>Georgiev; Todor G.|Osborne; Thomas Wesley|Goma; Sergiu Radu</t>
  </si>
  <si>
    <t>Georgiev; Todor G.</t>
  </si>
  <si>
    <t>2012/10/19</t>
  </si>
  <si>
    <t>2013/03/15</t>
  </si>
  <si>
    <t>2016/07/19</t>
  </si>
  <si>
    <t>13/622,318</t>
  </si>
  <si>
    <t>System and method for improving methods of manufacturing stereoscopic image sensors</t>
  </si>
  <si>
    <t>Atanassov; Kalin Mitkov|Goma; Sergiu R|Ramachandra; Vikas|Aleksic; Milivoje</t>
  </si>
  <si>
    <t>Atanassov; Kalin Mitkov</t>
  </si>
  <si>
    <t>2012/09/18</t>
  </si>
  <si>
    <t>2016/09/06</t>
  </si>
  <si>
    <t>H04N 13/02</t>
  </si>
  <si>
    <t>13/205,481</t>
  </si>
  <si>
    <t>Autofocus for stereo images</t>
  </si>
  <si>
    <t>Atanassov; Kalin M.|Goma; Sergiu R.|Ramachandra; Vikas</t>
  </si>
  <si>
    <t>Atanassov; Kalin M.</t>
  </si>
  <si>
    <t>2010/08/09</t>
  </si>
  <si>
    <t>2011/08/08</t>
  </si>
  <si>
    <t>2016/11/01</t>
  </si>
  <si>
    <t>14/742,285</t>
  </si>
  <si>
    <t>Folded optic array camera using refractive prisms</t>
  </si>
  <si>
    <t>2015/06/17</t>
  </si>
  <si>
    <t>14/742,017</t>
  </si>
  <si>
    <t>Autofocus for folded optic array cameras</t>
  </si>
  <si>
    <t>2017/01/17</t>
  </si>
  <si>
    <t>15/163,091</t>
  </si>
  <si>
    <t>2016/05/24</t>
  </si>
  <si>
    <t>2017/08/15</t>
  </si>
  <si>
    <t>PCT/US2015/02412.1</t>
  </si>
  <si>
    <t>Thomas Wesley OSBORNE</t>
  </si>
  <si>
    <t>2015/04/02</t>
  </si>
  <si>
    <t>2015/10/08</t>
  </si>
  <si>
    <t>H04N  5/232</t>
  </si>
  <si>
    <t>申请</t>
  </si>
  <si>
    <t>CN201110096107.7</t>
  </si>
  <si>
    <t>基于外加周期信号控制随机共振的轴承故障检测方法</t>
  </si>
  <si>
    <t>中国计量学院</t>
  </si>
  <si>
    <t>林敏|张美丽</t>
  </si>
  <si>
    <t>林敏</t>
  </si>
  <si>
    <t>2011/04/18</t>
  </si>
  <si>
    <t>2011/10/26</t>
  </si>
  <si>
    <t>G01M</t>
  </si>
  <si>
    <t>G01M 13/04</t>
  </si>
  <si>
    <t>2.80</t>
  </si>
  <si>
    <t>14/198,446</t>
  </si>
  <si>
    <t>Apparatus and methods for event-triggered updates in parallel networks</t>
  </si>
  <si>
    <t>QUALCOMM TECHNOLOGIES INC.</t>
  </si>
  <si>
    <t>Izhikevich; Eugene M.|Szatmary; Botond|Petre; Csaba|Piekniewski; Filip|Nageswaran; Jayram Moorkanikara</t>
  </si>
  <si>
    <t>Izhikevich; Eugene M.</t>
  </si>
  <si>
    <t>2011/09/21</t>
  </si>
  <si>
    <t>2014/03/05</t>
  </si>
  <si>
    <t>2015/07/28</t>
  </si>
  <si>
    <t>G06N</t>
  </si>
  <si>
    <t>G06N  3/10</t>
  </si>
  <si>
    <t>13/239,123</t>
  </si>
  <si>
    <t>Elementary network description for neuromorphic systems with plurality of doublets wherein doublet events rules are executed in parallel</t>
  </si>
  <si>
    <t>Izhikevich; Eugene M.|Szatmary; Botond|Petre; Csaba|Nageswaran; Jayram Moorkanikara|Piekniewski; Filip</t>
  </si>
  <si>
    <t>2015/08/11</t>
  </si>
  <si>
    <t>G06N  3/04</t>
  </si>
  <si>
    <t>13/385,937</t>
  </si>
  <si>
    <t>Round-trip engineering apparatus and methods for neural networks</t>
  </si>
  <si>
    <t>Szatmary; Botond|Izhikevich; Eugene M.|Petre; Csaba|Nageswaran; Jayram Moorkanikara|Piekniewski; Filip</t>
  </si>
  <si>
    <t>Szatmary; Botond</t>
  </si>
  <si>
    <t>2012/03/15</t>
  </si>
  <si>
    <t>G06N  7/00</t>
  </si>
  <si>
    <t>13/239,255</t>
  </si>
  <si>
    <t>Apparatus and methods for synaptic update in a pulse-coded network</t>
  </si>
  <si>
    <t>Izhikevich; Eugene M.|Piekniewski; Filip|Nageswaran; Jayram Moorkanikara|Levin; Jeffrey Alexander|Rangan; Venkat|Malone; Erik Christopher</t>
  </si>
  <si>
    <t>G06F</t>
  </si>
  <si>
    <t>G06F  1/16</t>
  </si>
  <si>
    <t>14/275,663</t>
  </si>
  <si>
    <t>Apparatus and method for partial evaluation of synaptic updates based on system events</t>
  </si>
  <si>
    <t>2014/05/12</t>
  </si>
  <si>
    <t>G06N  3/08</t>
  </si>
  <si>
    <t>13/560,891</t>
  </si>
  <si>
    <t>Apparatus and methods for efficient updates in spiking neuron network</t>
  </si>
  <si>
    <t>Sinyavskiy; Oleg|Polonichko; Vadim|Izhikevich; Eugene|Levin; Jeffrey Alexander</t>
  </si>
  <si>
    <t>Sinyavskiy; Oleg</t>
  </si>
  <si>
    <t>2012/07/27</t>
  </si>
  <si>
    <t>2016/02/09</t>
  </si>
  <si>
    <t>G06N  5/00</t>
  </si>
  <si>
    <t>14/198,550</t>
  </si>
  <si>
    <t>Methods for memory management in parallel networks</t>
  </si>
  <si>
    <t>Izhikevich; Eugene M.|Szatmary; Botond|Petre; Csaba|Piekniewski; Filip|Canoy; Michael-David Nakayoshi|Kimball; Robert Howard|Wegrzyn; Jan Krzys</t>
  </si>
  <si>
    <t>13/868,944</t>
  </si>
  <si>
    <t>Event-based communication in spiking neuron networks communicating a neural activity payload with an efficacy update</t>
  </si>
  <si>
    <t>Szatmary; Botond|Richert; Micah|Sinyavskiy; Oleg|Izhikevich; Eugene</t>
  </si>
  <si>
    <t>2011/08/17</t>
  </si>
  <si>
    <t>2013/04/23</t>
  </si>
  <si>
    <t>2016/08/09</t>
  </si>
  <si>
    <t>G06F 15/18</t>
  </si>
  <si>
    <t>14/788,719</t>
  </si>
  <si>
    <t>Apparatus and methods for robotic learning</t>
  </si>
  <si>
    <t>Meier; Philip|Bender; Paul</t>
  </si>
  <si>
    <t>Meier; Philip</t>
  </si>
  <si>
    <t>2012/08/31</t>
  </si>
  <si>
    <t>2015/06/30</t>
  </si>
  <si>
    <t>2016/09/13</t>
  </si>
  <si>
    <t>B25J</t>
  </si>
  <si>
    <t>B25J  9/16</t>
  </si>
  <si>
    <t>13/588,774</t>
  </si>
  <si>
    <t>Apparatus and methods for implementing event-based updates in neuron networks</t>
  </si>
  <si>
    <t>Sinyavskiy; Oleg|Izhikevich; Eugene</t>
  </si>
  <si>
    <t>2012/08/17</t>
  </si>
  <si>
    <t>CN200710164482.4</t>
  </si>
  <si>
    <t>利用棱镜分光渐晕补偿实现多CCD无缝拼接的光电系统</t>
  </si>
  <si>
    <t>浙江大学</t>
  </si>
  <si>
    <t>冯华君|雷  华|徐之海|李  奇</t>
  </si>
  <si>
    <t>冯华君</t>
  </si>
  <si>
    <t>2007/12/05</t>
  </si>
  <si>
    <t>2008/06/18</t>
  </si>
  <si>
    <t>G02B 27/10</t>
  </si>
  <si>
    <t>4.89</t>
  </si>
  <si>
    <t>CN200910087237.7</t>
  </si>
  <si>
    <t>一种基于视觉信息校正的室内移动机器人实时导航方法</t>
  </si>
  <si>
    <t>北京航空航天大学</t>
  </si>
  <si>
    <t>秦世引|谢  凡</t>
  </si>
  <si>
    <t>秦世引</t>
  </si>
  <si>
    <t>2009/06/18</t>
  </si>
  <si>
    <t>2009/11/11</t>
  </si>
  <si>
    <t>G01C</t>
  </si>
  <si>
    <t>G01C 21/00</t>
  </si>
  <si>
    <t>24.47</t>
  </si>
  <si>
    <t>12/895,583</t>
  </si>
  <si>
    <t>Mobile device locating in conjunction with localized environments</t>
  </si>
  <si>
    <t>Das; Saumitra Mohan|Naguib; Ayman Fawzy|Gupta; Rajarshi</t>
  </si>
  <si>
    <t>Das; Saumitra Mohan</t>
  </si>
  <si>
    <t>2009/10/01</t>
  </si>
  <si>
    <t>2010/09/30</t>
  </si>
  <si>
    <t>2014/08/19</t>
  </si>
  <si>
    <t>H04W 24/00</t>
  </si>
  <si>
    <t>0.65</t>
  </si>
  <si>
    <t>12/901,230</t>
  </si>
  <si>
    <t>Method and apparatus for transmitting indoor context information</t>
  </si>
  <si>
    <t>Gupta; Rajarshi|Wachter; Andreas K.</t>
  </si>
  <si>
    <t>Gupta; Rajarshi</t>
  </si>
  <si>
    <t>2009/10/12</t>
  </si>
  <si>
    <t>2010/10/08</t>
  </si>
  <si>
    <t>0.24</t>
  </si>
  <si>
    <t>13/958,165</t>
  </si>
  <si>
    <t>Gupta; Rajarshi|Wachter; Andreas Klaus</t>
  </si>
  <si>
    <t>2013/08/02</t>
  </si>
  <si>
    <t>2014/11/25</t>
  </si>
  <si>
    <t>14/072,747</t>
  </si>
  <si>
    <t>2013/11/05</t>
  </si>
  <si>
    <t>2015/04/21</t>
  </si>
  <si>
    <t>12/875,756</t>
  </si>
  <si>
    <t>Routing graphs for buildings</t>
  </si>
  <si>
    <t>Khorashadi; Behrooz|Das; Saumitra Mohan|Gupta; Rajarshi</t>
  </si>
  <si>
    <t>Khorashadi; Behrooz</t>
  </si>
  <si>
    <t>2010/09/03</t>
  </si>
  <si>
    <t>G01C 21/20</t>
  </si>
  <si>
    <t>12/875,724</t>
  </si>
  <si>
    <t>Routing graphs for buildings using schematics</t>
  </si>
  <si>
    <t>13/957,352</t>
  </si>
  <si>
    <t>2013/08/01</t>
  </si>
  <si>
    <t>14/688,616</t>
  </si>
  <si>
    <t>2015/04/16</t>
  </si>
  <si>
    <t>H04W  4/02</t>
  </si>
  <si>
    <t>13/010,577</t>
  </si>
  <si>
    <t>Map handling for location based services in conjunction with localized environments</t>
  </si>
  <si>
    <t>2010/01/22</t>
  </si>
  <si>
    <t>2011/01/20</t>
  </si>
  <si>
    <t>2016/07/12</t>
  </si>
  <si>
    <t>CN200680027155.8</t>
  </si>
  <si>
    <t>用于兼容的平板电感充电平台的可充电电池电路及结构</t>
  </si>
  <si>
    <t>香港城市大学</t>
  </si>
  <si>
    <t>S-y·R·回</t>
  </si>
  <si>
    <t>2005/07/25</t>
  </si>
  <si>
    <t>2006/07/25</t>
  </si>
  <si>
    <t>2008/07/23</t>
  </si>
  <si>
    <t>5.62</t>
  </si>
  <si>
    <t>12/554,478</t>
  </si>
  <si>
    <t>Receive antenna arrangement for wireless power</t>
  </si>
  <si>
    <t>Cook; Nigel P.|Sieber; Lukas|Widmer; Hanspeter</t>
  </si>
  <si>
    <t>Cook; Nigel P.</t>
  </si>
  <si>
    <t>2008/09/08</t>
  </si>
  <si>
    <t>2009/09/04</t>
  </si>
  <si>
    <t>12/478,766</t>
  </si>
  <si>
    <t>Inductive signal transfer system for computing devices</t>
  </si>
  <si>
    <t>Corbridge; Mark|Chatterjee; Manjirnath|Lehr; Michael|Hessenflow; Allan|Neubarth; Stuart|Rasco; Jacob</t>
  </si>
  <si>
    <t>Corbridge; Mark</t>
  </si>
  <si>
    <t>2008/12/31</t>
  </si>
  <si>
    <t>2009/06/04</t>
  </si>
  <si>
    <t>2014/04/29</t>
  </si>
  <si>
    <t>12.80</t>
  </si>
  <si>
    <t>12/610,831</t>
  </si>
  <si>
    <t>Retrofitting wireless power and near-field communication in electronic devices</t>
  </si>
  <si>
    <t>Kirby; Miles A|Grob; Matthew S|Ozaki; Ernest T|Toncich; Stanley S|Cook; Nigel P|Kinsey; Stanley B|Hillan; John|Frankland; Stephen</t>
  </si>
  <si>
    <t>2008/11/20</t>
  </si>
  <si>
    <t>2009/11/02</t>
  </si>
  <si>
    <t>13/171,878</t>
  </si>
  <si>
    <t>System and method for linking and sharing resources amongst devices</t>
  </si>
  <si>
    <t>Berg; Samantha|Lenox; Kim|Brown; Robert|Kruglikov; Vitaly|Chatterjee; Manjirnath|George; Moses</t>
  </si>
  <si>
    <t>Berg; Samantha</t>
  </si>
  <si>
    <t>2008/09/26</t>
  </si>
  <si>
    <t>2014/09/30</t>
  </si>
  <si>
    <t>G06F 15/16</t>
  </si>
  <si>
    <t>0.77</t>
  </si>
  <si>
    <t>13/173,252</t>
  </si>
  <si>
    <t>Portable power supply device with outlet connector</t>
  </si>
  <si>
    <t>Matsuoka; Yoshimichi|Chatterjee; Manjirnath</t>
  </si>
  <si>
    <t>Matsuoka; Yoshimichi</t>
  </si>
  <si>
    <t>2011/06/30</t>
  </si>
  <si>
    <t>2014/10/21</t>
  </si>
  <si>
    <t>G06F  1/00</t>
  </si>
  <si>
    <t>0.59</t>
  </si>
  <si>
    <t>12/618,555</t>
  </si>
  <si>
    <t>Wireless power for charging devices</t>
  </si>
  <si>
    <t>Burdo; Rinat|Kirby; Miles A.|Ozaki; Ernest T.|Keating; Virginia Walker|Jaffee; James I.|Cook; Nigel P.|Hunsicker; Harry M.|Mangan; Michael J.</t>
  </si>
  <si>
    <t>Burdo; Rinat</t>
  </si>
  <si>
    <t>2009/02/05</t>
  </si>
  <si>
    <t>2009/11/13</t>
  </si>
  <si>
    <t>H02J  7/02</t>
  </si>
  <si>
    <t>CN200980135159.1</t>
  </si>
  <si>
    <t>用于无线功率的接收天线布置</t>
  </si>
  <si>
    <t>奈杰尔·P·库克|卢卡斯·西贝尔|汉斯彼得·威德默</t>
  </si>
  <si>
    <t>奈杰尔·P·库克</t>
  </si>
  <si>
    <t>2009/09/08</t>
  </si>
  <si>
    <t>2014/04/16</t>
  </si>
  <si>
    <t>H01Q</t>
  </si>
  <si>
    <t>H01Q  1/24</t>
  </si>
  <si>
    <t>CN201080006893.0</t>
  </si>
  <si>
    <t>用于对装置进行充电的无线电力</t>
  </si>
  <si>
    <t>里纳特·布尔多|迈尔斯·A·柯比|欧内斯特·T·奥萨基|弗吉尼娅·W·基廷|詹姆斯·I·贾弗|奈杰尔·P·库克|哈里·M·洪斯克|迈克尔·J·曼根</t>
  </si>
  <si>
    <t>里纳特·布尔多</t>
  </si>
  <si>
    <t>2010/02/05</t>
  </si>
  <si>
    <t>2015/04/29</t>
  </si>
  <si>
    <t>CN201080052070.1</t>
  </si>
  <si>
    <t>用于移动计算设备的便携式电源设备</t>
  </si>
  <si>
    <t>R.焦斯恰|M.查特吉|J.唐</t>
  </si>
  <si>
    <t>R.焦斯恰</t>
  </si>
  <si>
    <t>2010/11/17</t>
  </si>
  <si>
    <t>2015/07/01</t>
  </si>
  <si>
    <t>H02J  5/00</t>
  </si>
  <si>
    <t>CN200710133275.2</t>
  </si>
  <si>
    <t>一种在ARM MPCore处理器上管理处理器热插拔的方法</t>
  </si>
  <si>
    <t>南京大学</t>
  </si>
  <si>
    <t>周  余|于  耀|王  伟|都思丹</t>
  </si>
  <si>
    <t>周  余</t>
  </si>
  <si>
    <t>2007/10/15</t>
  </si>
  <si>
    <t>2009/04/22</t>
  </si>
  <si>
    <t>G06F  9/50</t>
  </si>
  <si>
    <t>4.68</t>
  </si>
  <si>
    <t>12/944,467</t>
  </si>
  <si>
    <t>System and method for controlling central processing unit power with guaranteed transient deadlines</t>
  </si>
  <si>
    <t>Thomson; Steven S.|Rychlik; Bohuslav|Iranli; Ali|Sur; Sumit|Gargash; Norman S.</t>
  </si>
  <si>
    <t>Thomson; Steven S.</t>
  </si>
  <si>
    <t>2009/12/16</t>
  </si>
  <si>
    <t>2010/11/11</t>
  </si>
  <si>
    <t>14/174,012</t>
  </si>
  <si>
    <t>System and method for dynamically controlling a plurality of cores in a multicore central processing unit based on tempature</t>
  </si>
  <si>
    <t>Sur; Sumit|Rychlik; Bohuslav|Thomson; Steven S.|Iranli; Ali|Salsbery; Brian J.</t>
  </si>
  <si>
    <t>Sur; Sumit</t>
  </si>
  <si>
    <t>2014/02/06</t>
  </si>
  <si>
    <t>2015/07/14</t>
  </si>
  <si>
    <t>G06F  1/26</t>
  </si>
  <si>
    <t>13/669,043</t>
  </si>
  <si>
    <t>Thomson; Steven S.|Rychlik; Bohuslav|Iranli; Ali|Sur; Sumit|Gargash; Norman Scott</t>
  </si>
  <si>
    <t>2012/11/05</t>
  </si>
  <si>
    <t>12/944,378</t>
  </si>
  <si>
    <t>System and method for controlling central processing unit power with reduced frequency oscillations</t>
  </si>
  <si>
    <t>Thomson; Steven S.|Rychlik; Bohuslav|Iranli; Ali|Salsbery; Brian J.|Sur; Sumit|Gargash; Norman S.</t>
  </si>
  <si>
    <t>G06F  1/32</t>
  </si>
  <si>
    <t>13/759,709</t>
  </si>
  <si>
    <t>2013/02/05</t>
  </si>
  <si>
    <t>12/944,140</t>
  </si>
  <si>
    <t>System and method for controlling central processing unit power based on inferred workload parallelism</t>
  </si>
  <si>
    <t>Rychlik; Bohuslav|Glenn; Robert A.|Iranli; Ali|Salsbery; Brian J.|Sur; Sumit|Thomson; Steven S.</t>
  </si>
  <si>
    <t>Rychlik; Bohuslav</t>
  </si>
  <si>
    <t>2017/02/07</t>
  </si>
  <si>
    <t>CN201080056468.2</t>
  </si>
  <si>
    <t>用于基于所推断的工作负载并行性控制中央处理单元功率的系统和方法</t>
  </si>
  <si>
    <t>博胡斯拉夫·雷赫利克|罗伯特·A·格伦|阿里·伊兰里|布莱恩·J·萨尔斯贝瑞|素密·苏尔|史蒂文·S·汤姆森</t>
  </si>
  <si>
    <t>博胡斯拉夫·雷赫利克</t>
  </si>
  <si>
    <t>2010/11/24</t>
  </si>
  <si>
    <t>2015/09/09</t>
  </si>
  <si>
    <t>2012/09/05</t>
  </si>
  <si>
    <t>CN200510114748.5</t>
  </si>
  <si>
    <t>一种提高蜂窝网络定位精度的方法</t>
  </si>
  <si>
    <t>北京邮电大学</t>
  </si>
  <si>
    <t>陶小峰|张平|崔琪楣|张月霞|张新宇|余雯|刘宝玲</t>
  </si>
  <si>
    <t>陶小峰</t>
  </si>
  <si>
    <t>2005/10/26</t>
  </si>
  <si>
    <t>2006/03/15</t>
  </si>
  <si>
    <t>H04Q  7/38</t>
  </si>
  <si>
    <t>1.12</t>
  </si>
  <si>
    <t>14/027,024</t>
  </si>
  <si>
    <t>Post-deployment calibration for wireless position determination</t>
  </si>
  <si>
    <t>Naguib; Ayman Fawzy|Aggarwal; Alok|Guo; Jin</t>
  </si>
  <si>
    <t>Naguib; Ayman Fawzy</t>
  </si>
  <si>
    <t>2008/12/22</t>
  </si>
  <si>
    <t>2013/09/13</t>
  </si>
  <si>
    <t>2015/04/07</t>
  </si>
  <si>
    <t>12/533,462</t>
  </si>
  <si>
    <t>Method and apparatus for two-way ranging</t>
  </si>
  <si>
    <t>Aggarwal; Alok|Sridhara; Vinay|Naguib; Ayman Fawzy</t>
  </si>
  <si>
    <t>Aggarwal; Alok</t>
  </si>
  <si>
    <t>2008/11/25</t>
  </si>
  <si>
    <t>2015/09/01</t>
  </si>
  <si>
    <t>13/752,270</t>
  </si>
  <si>
    <t>Device for round trip time measurements</t>
  </si>
  <si>
    <t>Das; Saumitra Mohan|Aggarwal; Alok|Naguib; Ayman Fawzy|Hardie; Edward Thomas Lingham</t>
  </si>
  <si>
    <t>2010/04/30</t>
  </si>
  <si>
    <t>2013/01/28</t>
  </si>
  <si>
    <t>13/859,652</t>
  </si>
  <si>
    <t>Processing time determination for wireless position determination</t>
  </si>
  <si>
    <t>Aggarwal; Alok|Naguib; Ayman Fawzy|Sridhara; Vinay|Das; Saumitra Mohan</t>
  </si>
  <si>
    <t>2008/11/21</t>
  </si>
  <si>
    <t>2013/04/09</t>
  </si>
  <si>
    <t>2015/12/15</t>
  </si>
  <si>
    <t>H04J  3/06</t>
  </si>
  <si>
    <t>14/822,441</t>
  </si>
  <si>
    <t>Mobile station use of round trip time measurements</t>
  </si>
  <si>
    <t>2015/08/10</t>
  </si>
  <si>
    <t>14/515,076</t>
  </si>
  <si>
    <t>Wireless-based positioning adjustments using a motion sensor</t>
  </si>
  <si>
    <t>Sridhara; Vinay|Aggarwal; Alok|Naguib; Ayman Fawzy</t>
  </si>
  <si>
    <t>Sridhara; Vinay</t>
  </si>
  <si>
    <t>2014/10/15</t>
  </si>
  <si>
    <t>12/622,356</t>
  </si>
  <si>
    <t>Network-centric determination of node processing delay</t>
  </si>
  <si>
    <t>Aggarwal; Alok|Naguib; Ayman Fawzy|Sridhara; Vinay</t>
  </si>
  <si>
    <t>2009/11/19</t>
  </si>
  <si>
    <t>2017/05/09</t>
  </si>
  <si>
    <t>G01S</t>
  </si>
  <si>
    <t>G01S  5/02</t>
  </si>
  <si>
    <t>CN201180021556.3</t>
  </si>
  <si>
    <t>用于往返时间测量的设备</t>
  </si>
  <si>
    <t>S·M·达斯|A·阿加瓦尔|A·F·纳古比|E·T·L·哈迪</t>
  </si>
  <si>
    <t>S·M·达斯</t>
  </si>
  <si>
    <t>2011/04/29</t>
  </si>
  <si>
    <t>2016/11/30</t>
  </si>
  <si>
    <t>G01S  5/14</t>
  </si>
  <si>
    <t>CN200810103362.8</t>
  </si>
  <si>
    <t>双向测距与时间比对处理终端</t>
  </si>
  <si>
    <t>李  雪|徐  勇|常  青|刘  磊|张其善|吴鑫山</t>
  </si>
  <si>
    <t>李  雪</t>
  </si>
  <si>
    <t>2008/04/03</t>
  </si>
  <si>
    <t>2008/08/27</t>
  </si>
  <si>
    <t>1.60</t>
  </si>
  <si>
    <t>12/890,076</t>
  </si>
  <si>
    <t>Signal characteristic-based leading edge detection</t>
  </si>
  <si>
    <t>Budianu; Petru Cristian|Julian; David Jonathan|Ekbal; Amal</t>
  </si>
  <si>
    <t>Budianu; Petru Cristian</t>
  </si>
  <si>
    <t>2010/05/26</t>
  </si>
  <si>
    <t>2010/09/24</t>
  </si>
  <si>
    <t>H04L  7/02</t>
  </si>
  <si>
    <t>12/887,659</t>
  </si>
  <si>
    <t>Leading edge detection</t>
  </si>
  <si>
    <t>Budianu; Petru Cristian|Ekbal; Amal|Julian; David Jonathan</t>
  </si>
  <si>
    <t>2010/06/25</t>
  </si>
  <si>
    <t>2010/09/22</t>
  </si>
  <si>
    <t>12/875,262</t>
  </si>
  <si>
    <t>Two-way ranging messaging scheme</t>
  </si>
  <si>
    <t>Ekbal; Amal|Julian; David Jonathan|Budianu; Petru Cristian</t>
  </si>
  <si>
    <t>Ekbal; Amal</t>
  </si>
  <si>
    <t>2014/09/16</t>
  </si>
  <si>
    <t>H04W 64/00</t>
  </si>
  <si>
    <t>12/875,278</t>
  </si>
  <si>
    <t>12/890,004</t>
  </si>
  <si>
    <t>Signal based gain control</t>
  </si>
  <si>
    <t>CN201080067042.7</t>
  </si>
  <si>
    <t>双向测距消息方案</t>
  </si>
  <si>
    <t>A·埃克巴勒|D·J·朱利安|P·C·布迪亚努</t>
  </si>
  <si>
    <t>A·埃克巴勒</t>
  </si>
  <si>
    <t>2010/12/22</t>
  </si>
  <si>
    <t>2015/02/11</t>
  </si>
  <si>
    <t>2013/01/30</t>
  </si>
  <si>
    <t>0.46</t>
  </si>
  <si>
    <t>CN200710175886.3</t>
  </si>
  <si>
    <t>一种双质量块调谐输出式硅MEMS陀螺仪</t>
  </si>
  <si>
    <t>房建成|李建利|盛  蔚|楚中毅|秦  杰|乙冉冉|宋  星</t>
  </si>
  <si>
    <t>房建成</t>
  </si>
  <si>
    <t>2008/03/05</t>
  </si>
  <si>
    <t>G01C 19/56</t>
  </si>
  <si>
    <t>12.52</t>
  </si>
  <si>
    <t>12/930,229</t>
  </si>
  <si>
    <t>Micromachined piezoelectric three-axis gyroscope and stacked lateral overlap transducer (slot) based three-axis accelerometer</t>
  </si>
  <si>
    <t>Stephanou; Philip Jason|Acar; Cenk|Shenoy; Ravindra Vaman|Burns; David William|Black; Justin Phelps|Petersen; Kurt Edward|Ganapathi; Srinivasan Kodaganallur</t>
  </si>
  <si>
    <t>Stephanou; Philip Jason</t>
  </si>
  <si>
    <t>2010/12/30</t>
  </si>
  <si>
    <t>2015/05/05</t>
  </si>
  <si>
    <t>G01P</t>
  </si>
  <si>
    <t>G01P 15/125</t>
  </si>
  <si>
    <t>12/930,187</t>
  </si>
  <si>
    <t>Stacked lateral overlap transducer (SLOT) based three-axis accelerometer</t>
  </si>
  <si>
    <t>Stephanou; Philip Jason|Burns; David William|Shenoy; Ravindra Vaman</t>
  </si>
  <si>
    <t>13/956,163</t>
  </si>
  <si>
    <t>Micromachined piezoelectric z-axis gyroscope</t>
  </si>
  <si>
    <t>Acar; Cenk|Shenoy; Ravindra V.|Black; Justin Phelps|Petersen; Kurt Edward|Ganapathi; Srinivasan Kodaganallur|Stephanou; Philip Jason</t>
  </si>
  <si>
    <t>Acar; Cenk</t>
  </si>
  <si>
    <t>2013/07/31</t>
  </si>
  <si>
    <t>G01C 19/5769</t>
  </si>
  <si>
    <t>13/956,147</t>
  </si>
  <si>
    <t>Micromachined piezoelectric x-axis gyroscope</t>
  </si>
  <si>
    <t>14/054,617</t>
  </si>
  <si>
    <t>2013/10/15</t>
  </si>
  <si>
    <t>2017/03/28</t>
  </si>
  <si>
    <t>CN201180031788.7</t>
  </si>
  <si>
    <t>微机械压电Z轴陀螺仪</t>
  </si>
  <si>
    <t>C·阿卡|R·V·夏诺伊|J·P·布莱克|K·E·彼得森|S·K·加纳帕斯|P·J·史蒂芬诺</t>
  </si>
  <si>
    <t>C·阿卡</t>
  </si>
  <si>
    <t>2016/01/20</t>
  </si>
  <si>
    <t>G01C 19/5712</t>
  </si>
  <si>
    <t>2013/03/06</t>
  </si>
  <si>
    <t>CN200610114485.2</t>
  </si>
  <si>
    <t>一种电容式全解耦水平轴微机械陀螺</t>
  </si>
  <si>
    <t>北京大学</t>
  </si>
  <si>
    <t>刘雪松|刘  晔|丁海涛|杨振川|闫桂珍</t>
  </si>
  <si>
    <t>刘雪松</t>
  </si>
  <si>
    <t>2006/11/10</t>
  </si>
  <si>
    <t>2007/04/18</t>
  </si>
  <si>
    <t>11.55</t>
  </si>
  <si>
    <t>CN201180031703.5</t>
  </si>
  <si>
    <t>微机械压电X轴陀螺仪</t>
  </si>
  <si>
    <t>2016/03/09</t>
  </si>
  <si>
    <t>2013/02/27</t>
  </si>
  <si>
    <t>G01C 19/5747</t>
  </si>
  <si>
    <t>0.8</t>
  </si>
  <si>
    <t>CN200510012983.1</t>
  </si>
  <si>
    <t>具有较高灵敏度和带宽的差分式微机械陀螺</t>
  </si>
  <si>
    <t>中北大学</t>
  </si>
  <si>
    <t>李锦明|张文栋|李林|熊继军|刘俊|秦丽|马游春</t>
  </si>
  <si>
    <t>李锦明</t>
  </si>
  <si>
    <t>2005/11/11</t>
  </si>
  <si>
    <t>2006/05/03</t>
  </si>
  <si>
    <t>10.64</t>
  </si>
  <si>
    <t>CN03145739.8</t>
  </si>
  <si>
    <t>无线局域网的越区切换方法</t>
  </si>
  <si>
    <t>株式会社日立制作所|清华大学</t>
  </si>
  <si>
    <t>日立有限公司|清华大学</t>
  </si>
  <si>
    <t>邓辉|矢野正|牛志升|王兰</t>
  </si>
  <si>
    <t>邓辉</t>
  </si>
  <si>
    <t>2003/07/01</t>
  </si>
  <si>
    <t>2005/01/19</t>
  </si>
  <si>
    <t>H04Q  7/20</t>
  </si>
  <si>
    <t>9.74</t>
  </si>
  <si>
    <t>12/502,092</t>
  </si>
  <si>
    <t>Wireless communication systems with femto cells</t>
  </si>
  <si>
    <t>Tinnakornsrisuphap; Peerapol|Nanda; Sanjiv|Deshpande; Manoj M.|Yavuz; Mehmet</t>
  </si>
  <si>
    <t>Tinnakornsrisuphap; Peerapol</t>
  </si>
  <si>
    <t>2008/07/15</t>
  </si>
  <si>
    <t>2009/07/13</t>
  </si>
  <si>
    <t>2014/06/03</t>
  </si>
  <si>
    <t>H04J  3/00</t>
  </si>
  <si>
    <t>12/502,098</t>
  </si>
  <si>
    <t>Wireless communication systems with femto nodes</t>
  </si>
  <si>
    <t>2015/03/24</t>
  </si>
  <si>
    <t>12/486,650</t>
  </si>
  <si>
    <t>Access terminal assisted node identifier confusion resolution using a time gap</t>
  </si>
  <si>
    <t>Prakash; Rajat|Gupta; Rajarshi|Agashe; Parag A.|Kitazoe; Masato|Meylan; Arnaud|Horn; Gavin B.</t>
  </si>
  <si>
    <t>Prakash; Rajat</t>
  </si>
  <si>
    <t>2008/06/19</t>
  </si>
  <si>
    <t>2009/06/17</t>
  </si>
  <si>
    <t>0.18</t>
  </si>
  <si>
    <t>12/486,658</t>
  </si>
  <si>
    <t>Access terminal assisted node identifier confusion resolution</t>
  </si>
  <si>
    <t>12/269,676</t>
  </si>
  <si>
    <t>Using identifiers to establish communication</t>
  </si>
  <si>
    <t>Horn; Gavin B.|Agashe; Parag A.|Prakash; Rajat|Gupta; Rajarshi|Kitazoe; Masato|Tenny; Nathan E.|Flore; Oronzo</t>
  </si>
  <si>
    <t>Horn; Gavin B.</t>
  </si>
  <si>
    <t>2007/11/16</t>
  </si>
  <si>
    <t>2008/11/12</t>
  </si>
  <si>
    <t>11/316,376</t>
  </si>
  <si>
    <t>Communications methods and apparatus using physical attachment point identifiers which support dual communications links</t>
  </si>
  <si>
    <t>Laroia; Rajiv|Anigstein; Pablo|Parizhsky; Vladimir|Srinivasan; Murari|Tsirtsis; George</t>
  </si>
  <si>
    <t>2005/12/22</t>
  </si>
  <si>
    <t>H04W 40/04</t>
  </si>
  <si>
    <t>CN201310467133.5</t>
  </si>
  <si>
    <t>用于端节点辅助的邻近者发现的方法和设备</t>
  </si>
  <si>
    <t>拉吉夫·拉罗亚|帕勃罗·阿尼哥斯坦|戴维·R·马兹克|弗拉迪米尔·帕里兹斯基|文森特·帕克|穆拉里·斯里尼瓦桑|乔治·德希尔西斯</t>
  </si>
  <si>
    <t>拉吉夫·拉罗亚</t>
  </si>
  <si>
    <t>2006/12/20</t>
  </si>
  <si>
    <t>2017/04/26</t>
  </si>
  <si>
    <t>H04W  8/00</t>
  </si>
  <si>
    <t>CN201010204587.X</t>
  </si>
  <si>
    <t>一种基于加速度传感器的手势识别方法</t>
  </si>
  <si>
    <t>华南理工大学</t>
  </si>
  <si>
    <t>薛洋|金连文</t>
  </si>
  <si>
    <t>薛洋</t>
  </si>
  <si>
    <t>2010/06/18</t>
  </si>
  <si>
    <t>2010/11/10</t>
  </si>
  <si>
    <t>G06F  3/01</t>
  </si>
  <si>
    <t>7.1</t>
  </si>
  <si>
    <t>14/090,261</t>
  </si>
  <si>
    <t>Methods and systems of using boosted decision stumps and joint feature selection and culling algorithms for the efficient classification of mobile device behaviors</t>
  </si>
  <si>
    <t>Fawaz; Kassem|Sridhara; Vinay|Gupta; Rajarshi</t>
  </si>
  <si>
    <t>Fawaz; Kassem</t>
  </si>
  <si>
    <t>2013/01/02</t>
  </si>
  <si>
    <t>2017/06/20</t>
  </si>
  <si>
    <t>G06N  5/04</t>
  </si>
  <si>
    <t>14/091,707</t>
  </si>
  <si>
    <t>Methods and systems of dynamically generating and using device-specific and device-state-specific classifier models for the efficient classification of mobile device behaviors</t>
  </si>
  <si>
    <t>Sridhara; Vinay|Gupta; Rajarshi|Fawaz; Kassem</t>
  </si>
  <si>
    <t>2013/11/27</t>
  </si>
  <si>
    <t>H04B 17/00</t>
  </si>
  <si>
    <t>13/796,595</t>
  </si>
  <si>
    <t>Communicating behavior information in a mobile computing device</t>
  </si>
  <si>
    <t>Gupta; Rajarshi|Halambi; Soorgoli Ashok|Gathala; Sudha A.|Sridhara; Vinay</t>
  </si>
  <si>
    <t>2012/05/14</t>
  </si>
  <si>
    <t>2013/03/12</t>
  </si>
  <si>
    <t>14/099,108</t>
  </si>
  <si>
    <t>Inter-module authentication for securing application execution integrity within a computing device</t>
  </si>
  <si>
    <t>Christodorescu; Mihai|Gupta; Rajarshi|Sridhara; Vinay</t>
  </si>
  <si>
    <t>Christodorescu; Mihai</t>
  </si>
  <si>
    <t>2013/01/22</t>
  </si>
  <si>
    <t>2013/12/06</t>
  </si>
  <si>
    <t>2017/08/22</t>
  </si>
  <si>
    <t>H04L  9/08</t>
  </si>
  <si>
    <t>13/937,462</t>
  </si>
  <si>
    <t>On-line behavioral analysis engine in mobile device with multiple analyzer model providers</t>
  </si>
  <si>
    <t>Gupta; Rajarshi|Bapst; Mark|Reshadi; Mohammad H|Kumar; Samir</t>
  </si>
  <si>
    <t>2012/08/15</t>
  </si>
  <si>
    <t>2013/07/09</t>
  </si>
  <si>
    <t>2017/08/29</t>
  </si>
  <si>
    <t>G06F 21/55</t>
  </si>
  <si>
    <t>14/957,850</t>
  </si>
  <si>
    <t>Secure behavior analysis over trusted execution environment</t>
  </si>
  <si>
    <t>Gupta; Rajarshi|Halambi; Soorgoli Ashok|Rimoni; Yoram</t>
  </si>
  <si>
    <t>2015/12/03</t>
  </si>
  <si>
    <t>2017/09/05</t>
  </si>
  <si>
    <t>CN200810041209.7</t>
  </si>
  <si>
    <t>视频解码过程中反离散余弦变换的硬件实现装置及方法</t>
  </si>
  <si>
    <t>上海交通大学</t>
  </si>
  <si>
    <t>张  航|洪  宇|周金佳|刘佩林</t>
  </si>
  <si>
    <t>张  航</t>
  </si>
  <si>
    <t>2008/07/31</t>
  </si>
  <si>
    <t>2008/12/24</t>
  </si>
  <si>
    <t>H04N  7/26</t>
  </si>
  <si>
    <t>2.35</t>
  </si>
  <si>
    <t>12/788,625</t>
  </si>
  <si>
    <t>4X4 transform for media coding</t>
  </si>
  <si>
    <t>Reznik; Yuriy</t>
  </si>
  <si>
    <t>2009/06/05</t>
  </si>
  <si>
    <t>2010/05/27</t>
  </si>
  <si>
    <t>G06F 17/14</t>
  </si>
  <si>
    <t>12/820,357</t>
  </si>
  <si>
    <t>16-point transform for media data coding</t>
  </si>
  <si>
    <t>Reznik; Yuriy|Joshi; Rajan L.|Karczewicz; Marta</t>
  </si>
  <si>
    <t>2009/06/24</t>
  </si>
  <si>
    <t>2010/06/22</t>
  </si>
  <si>
    <t>2015/07/07</t>
  </si>
  <si>
    <t>H04N  7/12</t>
  </si>
  <si>
    <t>12/820,346</t>
  </si>
  <si>
    <t>12/758,959</t>
  </si>
  <si>
    <t>Computing even-sized discrete cosine transforms</t>
  </si>
  <si>
    <t>2009/04/15</t>
  </si>
  <si>
    <t>2010/04/13</t>
  </si>
  <si>
    <t>2015/08/18</t>
  </si>
  <si>
    <t>12/820,312</t>
  </si>
  <si>
    <t>8-point transform for media data coding</t>
  </si>
  <si>
    <t>13/765,040</t>
  </si>
  <si>
    <t>8-point inverse discrete cosine transform including odd and even portions for media data coding</t>
  </si>
  <si>
    <t>Reznik; Yuriy|Joshi; Rajan Laxman|Karczewicz; Marta</t>
  </si>
  <si>
    <t>2016/04/19</t>
  </si>
  <si>
    <t>CN200510007397.8</t>
  </si>
  <si>
    <t>一种水平轴微机械陀螺及其制备方法</t>
  </si>
  <si>
    <t>杨振川|闫桂珍|刘雪松|郝一龙|武国英</t>
  </si>
  <si>
    <t>杨振川</t>
  </si>
  <si>
    <t>2005/02/28</t>
  </si>
  <si>
    <t>2006/09/06</t>
  </si>
  <si>
    <t>G01C 19/00</t>
  </si>
  <si>
    <t>12.59</t>
  </si>
  <si>
    <t>CN200510130986.5</t>
  </si>
  <si>
    <t>整型变换电路和整型变换方法</t>
  </si>
  <si>
    <t>清华大学</t>
  </si>
  <si>
    <t>何芸|李宇</t>
  </si>
  <si>
    <t>何芸</t>
  </si>
  <si>
    <t>2005/12/15</t>
  </si>
  <si>
    <t>2006/07/12</t>
  </si>
  <si>
    <t>H04N  7/30</t>
  </si>
  <si>
    <t>0.67</t>
  </si>
  <si>
    <t>驳回</t>
  </si>
  <si>
    <t>12/133,227</t>
  </si>
  <si>
    <t>Adaptive coding of video block prediction mode</t>
  </si>
  <si>
    <t>Ye; Yan|Karczewicz; Marta</t>
  </si>
  <si>
    <t>Ye; Yan</t>
  </si>
  <si>
    <t>2007/06/15</t>
  </si>
  <si>
    <t>2008/06/04</t>
  </si>
  <si>
    <t>1.54</t>
  </si>
  <si>
    <t>12/133,277</t>
  </si>
  <si>
    <t>Adaptive coefficient scanning for video coding</t>
  </si>
  <si>
    <t>1.61</t>
  </si>
  <si>
    <t>13/617,268</t>
  </si>
  <si>
    <t>12/133,232</t>
  </si>
  <si>
    <t>Adaptive coefficient scanning in video coding</t>
  </si>
  <si>
    <t>QUALCOMM, Incorporated</t>
  </si>
  <si>
    <t>2013/10/29</t>
  </si>
  <si>
    <t>12/133,257</t>
  </si>
  <si>
    <t>Separable directional transforms</t>
  </si>
  <si>
    <t>2013/12/31</t>
  </si>
  <si>
    <t>14/142,510</t>
  </si>
  <si>
    <t>2013/12/27</t>
  </si>
  <si>
    <t>2017/02/21</t>
  </si>
  <si>
    <t>CN00129798.8</t>
  </si>
  <si>
    <t>无转置部件行列分离二维离散余弦变换/反变换VLSI结构及其方法</t>
  </si>
  <si>
    <t>何芸|龚大年</t>
  </si>
  <si>
    <t>2000/10/13</t>
  </si>
  <si>
    <t>2001/03/28</t>
  </si>
  <si>
    <t>6.11</t>
  </si>
  <si>
    <t>CN201210046834.7</t>
  </si>
  <si>
    <t>一种基于HOG-LBP描述的行人跟踪方法</t>
  </si>
  <si>
    <t>西安电子科技大学</t>
  </si>
  <si>
    <t>屈鉴铭|刘志镜|贺文骅|张小骏|熊静|王静|刘慧|王纵虎|赵俊敏|黄靓</t>
  </si>
  <si>
    <t>屈鉴铭</t>
  </si>
  <si>
    <t>2012/09/12</t>
  </si>
  <si>
    <t>G06K  9/62</t>
  </si>
  <si>
    <t>19.6</t>
  </si>
  <si>
    <t>14/985,144</t>
  </si>
  <si>
    <t>Apparatus and method for low-power object-detection in images using hardware scanning window</t>
  </si>
  <si>
    <t>Govil; Alok|Gousev; Evgeni Petrovich|Rangan; Venkat|Rasquinha; Nelson</t>
  </si>
  <si>
    <t>Govil; Alok</t>
  </si>
  <si>
    <t>2015/12/30</t>
  </si>
  <si>
    <t>2016/10/18</t>
  </si>
  <si>
    <t>G06K  9/00</t>
  </si>
  <si>
    <t>14/866,549</t>
  </si>
  <si>
    <t>Low-power always-on face detection, tracking, recognition and/or analysis using events-based vision sensor</t>
  </si>
  <si>
    <t>Gousev; Evgeni P.|Govil; Alok|Maitan; Jacek|Rasquinha; Nelson|Rangan; Venkat</t>
  </si>
  <si>
    <t>Gousev; Evgeni P.</t>
  </si>
  <si>
    <t>2015/09/25</t>
  </si>
  <si>
    <t>2017/01/24</t>
  </si>
  <si>
    <t>H04N  7/18</t>
  </si>
  <si>
    <t>14/985,158</t>
  </si>
  <si>
    <t>Apparatus and method for low-power object-detection in images using image integration hardware</t>
  </si>
  <si>
    <t>14/861,968</t>
  </si>
  <si>
    <t>Computing hierarchical computations for computer vision calculations</t>
  </si>
  <si>
    <t>2017/07/11</t>
  </si>
  <si>
    <t>G06K  9/46</t>
  </si>
  <si>
    <t>14/859,533</t>
  </si>
  <si>
    <t>Configurable hardware for computing computer vision features</t>
  </si>
  <si>
    <t>Govil; Alok|Gousev; Evgeni Petrovich|Kim; Soo Youn</t>
  </si>
  <si>
    <t>2015/09/21</t>
  </si>
  <si>
    <t>2017/09/12</t>
  </si>
  <si>
    <t>H04N  5/3745</t>
  </si>
  <si>
    <t>CN200910033587.5</t>
  </si>
  <si>
    <t>基于空气中声传感器阵列的水下低频声源定位方法</t>
  </si>
  <si>
    <t>陶建成|邱小军</t>
  </si>
  <si>
    <t>陶建成</t>
  </si>
  <si>
    <t>2009/12/02</t>
  </si>
  <si>
    <t>G01S  5/18</t>
  </si>
  <si>
    <t>1.58</t>
  </si>
  <si>
    <t>13/835,139</t>
  </si>
  <si>
    <t>Systems, methods, and apparatus for spatially directive filtering</t>
  </si>
  <si>
    <t>Kim; Lae-Hoon|Visser; Erik</t>
  </si>
  <si>
    <t>Kim; Lae-Hoon</t>
  </si>
  <si>
    <t>2012/04/13</t>
  </si>
  <si>
    <t>H04R</t>
  </si>
  <si>
    <t>H04R  3/00</t>
  </si>
  <si>
    <t>13/833,982</t>
  </si>
  <si>
    <t>Systems, methods, and apparatus for estimating direction of arrival</t>
  </si>
  <si>
    <t>2016/05/31</t>
  </si>
  <si>
    <t>G01S  3/80</t>
  </si>
  <si>
    <t>13/834,715</t>
  </si>
  <si>
    <t>Systems, methods, and apparatus for indicating direction of arrival</t>
  </si>
  <si>
    <t>H04R  1/08</t>
  </si>
  <si>
    <t>CN201380019683.9</t>
  </si>
  <si>
    <t>用于估计到达方向的系统、方法和设备</t>
  </si>
  <si>
    <t>金莱轩|埃里克·维瑟</t>
  </si>
  <si>
    <t>金莱轩</t>
  </si>
  <si>
    <t>2013/03/19</t>
  </si>
  <si>
    <t>2017/04/05</t>
  </si>
  <si>
    <t>2014/12/17</t>
  </si>
  <si>
    <t>CN200810196257.3</t>
  </si>
  <si>
    <t>用于声频文件的数字水印制作及识别方法</t>
  </si>
  <si>
    <t>陶  智|顾济华|赵鹤鸣|吴  俊</t>
  </si>
  <si>
    <t>陶  智</t>
  </si>
  <si>
    <t>2008/08/25</t>
  </si>
  <si>
    <t>2009/01/14</t>
  </si>
  <si>
    <t>G10L</t>
  </si>
  <si>
    <t>G10L 19/00</t>
  </si>
  <si>
    <t>6.71</t>
  </si>
  <si>
    <t>13/275,997</t>
  </si>
  <si>
    <t>Devices for adaptively encoding and decoding a watermarked signal</t>
  </si>
  <si>
    <t>Villette; Stephane Pierre|Sinder; Daniel J.</t>
  </si>
  <si>
    <t>Villette; Stephane Pierre</t>
  </si>
  <si>
    <t>2011/02/07</t>
  </si>
  <si>
    <t>2011/10/18</t>
  </si>
  <si>
    <t>G10L 21/00</t>
  </si>
  <si>
    <t>13/276,096</t>
  </si>
  <si>
    <t>Devices for encoding and decoding a watermarked signal</t>
  </si>
  <si>
    <t>2017/09/19</t>
  </si>
  <si>
    <t>13/276,115</t>
  </si>
  <si>
    <t>Devices for encoding and detecting a watermarked signal</t>
  </si>
  <si>
    <t>CN201280005086.6</t>
  </si>
  <si>
    <t>用于编码及检测带水印信号的装置</t>
  </si>
  <si>
    <t>斯特凡那·皮埃尔·维莱特|丹尼尔·J·辛德尔</t>
  </si>
  <si>
    <t>斯特凡那·皮埃尔·维莱特</t>
  </si>
  <si>
    <t>2012/01/10</t>
  </si>
  <si>
    <t>2015/06/10</t>
  </si>
  <si>
    <t>G10L 19/018</t>
  </si>
  <si>
    <t>2013/09/11</t>
  </si>
  <si>
    <t>CN200810069653.X</t>
  </si>
  <si>
    <t>保护音频数据的音频扩频水印处理方法</t>
  </si>
  <si>
    <t>中国人民解放军重庆通信学院</t>
  </si>
  <si>
    <t>由守杰|柏  森|刘郁林|曹巍巍|朱桂斌|赵  波</t>
  </si>
  <si>
    <t>由守杰</t>
  </si>
  <si>
    <t>2008/05/09</t>
  </si>
  <si>
    <t>2008/09/24</t>
  </si>
  <si>
    <t>2.47</t>
  </si>
  <si>
    <t>CN200710168493.X</t>
  </si>
  <si>
    <t>一种组合的混合自动请求重传方法</t>
  </si>
  <si>
    <t>刘应状|敖  娟|林宏志|孙  俊|王德胜|周宗仪|朱光喜</t>
  </si>
  <si>
    <t>刘应状</t>
  </si>
  <si>
    <t>2007/11/26</t>
  </si>
  <si>
    <t>2008/05/21</t>
  </si>
  <si>
    <t>10.85</t>
  </si>
  <si>
    <t>13/493,942</t>
  </si>
  <si>
    <t>Method and apparatus for soft symbol determination</t>
  </si>
  <si>
    <t>Salvekar; Atul A.|Cho; Young Geun|Tang; Jia|Khare; Shantanu|Kuo; Ming-Chieh|Yao; Iwen</t>
  </si>
  <si>
    <t>Salvekar; Atul A.</t>
  </si>
  <si>
    <t>2012/06/11</t>
  </si>
  <si>
    <t>H03M</t>
  </si>
  <si>
    <t>H03M  7/00</t>
  </si>
  <si>
    <t>12/552,673</t>
  </si>
  <si>
    <t>Unified iterative decoding architecture using joint LLR extraction and a priori probability</t>
  </si>
  <si>
    <t>Subrahmanya; Parvathanathan|Sendonaris; Andrew|Tang; Jia|Salvekar; Atul A.|Khare; Shantanu|Park; Jong Hyeon|Banister; Brian C.|Cui; Tao</t>
  </si>
  <si>
    <t>Subrahmanya; Parvathanathan</t>
  </si>
  <si>
    <t>2009/09/02</t>
  </si>
  <si>
    <t>2015/03/10</t>
  </si>
  <si>
    <t>12/552,647</t>
  </si>
  <si>
    <t>Hardware simplification of sic-MIMO decoding by use of a single hardware element with channel and noise adaptation for interference cancelled streams</t>
  </si>
  <si>
    <t>Salvekar; Atul A.|Tang; Jia|Park; Jong Hyeon|Khare; Shantanu</t>
  </si>
  <si>
    <t>CN201080039694.X</t>
  </si>
  <si>
    <t>具有HARQ组合和软判决指导的信道估计的迭代解码架构</t>
  </si>
  <si>
    <t>J·唐|A·A·赛尔瓦卡|P·苏布拉马亚|A·杉多纳利斯|S·哈尔|J·H·朴|B·C·巴尼斯特|T·崔</t>
  </si>
  <si>
    <t>J·唐</t>
  </si>
  <si>
    <t>2010/08/17</t>
  </si>
  <si>
    <t>2014/11/26</t>
  </si>
  <si>
    <t>2012/05/30</t>
  </si>
  <si>
    <t>CN200710030646.4</t>
  </si>
  <si>
    <t>基于DCT的分辨率可伸缩图像编解码方法</t>
  </si>
  <si>
    <t>吴宗泽|谢胜利|陈易光|张克新|张  勰|余  荣</t>
  </si>
  <si>
    <t>吴宗泽</t>
  </si>
  <si>
    <t>2007/09/29</t>
  </si>
  <si>
    <t>2008/02/20</t>
  </si>
  <si>
    <t>6.49</t>
  </si>
  <si>
    <t>12/829,280</t>
  </si>
  <si>
    <t>Transmitter quieting and reduced rate encoding</t>
  </si>
  <si>
    <t>Raveendran; Vijayalakshmi R.</t>
  </si>
  <si>
    <t>2009/07/02</t>
  </si>
  <si>
    <t>2010/07/01</t>
  </si>
  <si>
    <t>H04N 11/02</t>
  </si>
  <si>
    <t>12/829,293</t>
  </si>
  <si>
    <t>Transmitter quieting and null data encoding</t>
  </si>
  <si>
    <t>2015/02/17</t>
  </si>
  <si>
    <t>12/829,302</t>
  </si>
  <si>
    <t>Coding latency reductions during transmitter quieting</t>
  </si>
  <si>
    <t>H04H 20/42</t>
  </si>
  <si>
    <t>CN201080031038.5</t>
  </si>
  <si>
    <t>发射机静默期间的编码等待时间减少</t>
  </si>
  <si>
    <t>V·R·拉维德兰</t>
  </si>
  <si>
    <t>2010/07/02</t>
  </si>
  <si>
    <t>H04H 20/40</t>
  </si>
  <si>
    <t>CN200610034142.5</t>
  </si>
  <si>
    <t>一种建立增益码书的方法</t>
  </si>
  <si>
    <t>北京工业大学|华为技术有限公司</t>
  </si>
  <si>
    <t>鲍长春|窦庚欣|范  睿|朱  恒|李立雄</t>
  </si>
  <si>
    <t>鲍长春</t>
  </si>
  <si>
    <t>2006/03/03</t>
  </si>
  <si>
    <t>2007/09/05</t>
  </si>
  <si>
    <t>G10L 19/04</t>
  </si>
  <si>
    <t>2.20</t>
  </si>
  <si>
    <t>13/193,476</t>
  </si>
  <si>
    <t>Systems, methods, apparatus, and computer-readable media for multi-stage shape vector quantization</t>
  </si>
  <si>
    <t>Duni; Ethan Robert|Krishnan; Venkatesh|Rajendran; Vivek</t>
  </si>
  <si>
    <t>Duni; Ethan Robert</t>
  </si>
  <si>
    <t>2010/07/30</t>
  </si>
  <si>
    <t>2011/07/28</t>
  </si>
  <si>
    <t>G10L 19/12</t>
  </si>
  <si>
    <t>13/192,956</t>
  </si>
  <si>
    <t>Systems, methods, apparatus, and computer-readable media for coding of harmonic signals</t>
  </si>
  <si>
    <t>Rajendran; Vivek|Duni; Ethan Robert|Krishnan; Venkatesh|Tawari; Ashish Kumar</t>
  </si>
  <si>
    <t>Rajendran; Vivek</t>
  </si>
  <si>
    <t>0.17</t>
  </si>
  <si>
    <t>13/211,027</t>
  </si>
  <si>
    <t>Systems, methods, apparatus, and computer-readable media for noise injection</t>
  </si>
  <si>
    <t>Rajendran; Vivek|Duni; Ethan Robert|Krishnan; Venkatesh</t>
  </si>
  <si>
    <t>2011/08/16</t>
  </si>
  <si>
    <t>13/193,529</t>
  </si>
  <si>
    <t>Systems, methods, apparatus, and computer-readable media for dynamic bit allocation</t>
  </si>
  <si>
    <t>G10L 25/90</t>
  </si>
  <si>
    <t>CN201180037191.3</t>
  </si>
  <si>
    <t>用于音频信号的相依模式译码的系统、方法、设备和计算机可读媒体</t>
  </si>
  <si>
    <t>文卡特什·克里希南|维韦克·拉金德朗|伊桑·R·杜尼</t>
  </si>
  <si>
    <t>文卡特什·克里希南</t>
  </si>
  <si>
    <t>2011/07/29</t>
  </si>
  <si>
    <t>2013/04/10</t>
  </si>
  <si>
    <t>G10L 19/038</t>
  </si>
  <si>
    <t>CN02814248.9</t>
  </si>
  <si>
    <t>在无线定位系统中估计TDOA和FDOA的改进方法</t>
  </si>
  <si>
    <t>真实定位公司|麻省理工学院</t>
  </si>
  <si>
    <t>罗伯特·J·安德森|艾伦·E·E·罗杰斯|路易斯·A·史迪普</t>
  </si>
  <si>
    <t>罗伯特·J·安德森</t>
  </si>
  <si>
    <t>2001/07/18</t>
  </si>
  <si>
    <t>2002/01/10</t>
  </si>
  <si>
    <t>2004/10/13</t>
  </si>
  <si>
    <t>5.59</t>
  </si>
  <si>
    <t>12/722,733</t>
  </si>
  <si>
    <t>Gain control metric computation in a wireless repeater</t>
  </si>
  <si>
    <t>Wang; Michael Mao|Gore; Dhananjay Ashok|Jarosinski; Tadeusz</t>
  </si>
  <si>
    <t>Wang; Michael Mao</t>
  </si>
  <si>
    <t>2009/05/11</t>
  </si>
  <si>
    <t>2010/03/12</t>
  </si>
  <si>
    <t>12/722,714</t>
  </si>
  <si>
    <t>Gain control optimizing SINR and data rate for wireless repeater</t>
  </si>
  <si>
    <t>Gore; Dhananjay Ashok|Barriac; Gwendolyn Denise|Nanda; Sanjiv</t>
  </si>
  <si>
    <t>H04B  7/15</t>
  </si>
  <si>
    <t>12/722,760</t>
  </si>
  <si>
    <t>Gain control metric pruning in a wireless repeater</t>
  </si>
  <si>
    <t>Wang; Michael Mao|Barriac; Gwendolyn Denise|Gore; Dhananjay Ashok</t>
  </si>
  <si>
    <t>CN201080021477.8</t>
  </si>
  <si>
    <t>无线中继器中的增益控制度量修剪</t>
  </si>
  <si>
    <t>M·M·王|G·D·巴里克|D·A·高尔</t>
  </si>
  <si>
    <t>M·M·王</t>
  </si>
  <si>
    <t>2010/05/11</t>
  </si>
  <si>
    <t>2014/09/24</t>
  </si>
  <si>
    <t>H04B  7/155</t>
  </si>
  <si>
    <t>2012/04/18</t>
  </si>
  <si>
    <t>CN01130658.0</t>
  </si>
  <si>
    <t>级联纠错编码器及其编码方法</t>
  </si>
  <si>
    <t>杨林|杨知行</t>
  </si>
  <si>
    <t>杨林</t>
  </si>
  <si>
    <t>2001/08/17</t>
  </si>
  <si>
    <t>2000/08/25</t>
  </si>
  <si>
    <t>2002/05/08</t>
  </si>
  <si>
    <t>H04N  7/24</t>
  </si>
  <si>
    <t>2.25</t>
  </si>
  <si>
    <t>11/192,788</t>
  </si>
  <si>
    <t>System and method for modulation diversity</t>
  </si>
  <si>
    <t>Wang; Michael Mao|Ling; Fuyun|Chari; Murali Ramaswamy|Vijayan; Rajiv</t>
  </si>
  <si>
    <t>2004/07/29</t>
  </si>
  <si>
    <t>2005/07/29</t>
  </si>
  <si>
    <t>G06F 11/00</t>
  </si>
  <si>
    <t>11/511,950</t>
  </si>
  <si>
    <t>Method and apparatus for communicating network identifiers in a communication system</t>
  </si>
  <si>
    <t>2015/05/26</t>
  </si>
  <si>
    <t>13/767,834</t>
  </si>
  <si>
    <t>System and method for frequency diversity</t>
  </si>
  <si>
    <t>Wang; Michael Mao|Chari; Murali Ramaswamy|Mantravadi; Ashok|Ling; Fuyun|Vijayan; Rajiv|Krishnamoorthi; Raghuraman</t>
  </si>
  <si>
    <t>2013/02/14</t>
  </si>
  <si>
    <t>12/179,505</t>
  </si>
  <si>
    <t>Mantravadi; Ashok|Chari; Murali Ramaswamy|Wang; Michael Mao|Ling; Fuyun|Vijayan; Rajiv|Krishnamoorthi; Raghuraman</t>
  </si>
  <si>
    <t>Mantravadi; Ashok</t>
  </si>
  <si>
    <t>2007/07/25</t>
  </si>
  <si>
    <t>2008/07/24</t>
  </si>
  <si>
    <t>CN201210524314.2</t>
  </si>
  <si>
    <t>交织系统和方法</t>
  </si>
  <si>
    <t>迈克尔·毛·王|凌复云|拉马斯瓦米·穆拉利|拉吉夫·维贾亚恩</t>
  </si>
  <si>
    <t>迈克尔·毛·王</t>
  </si>
  <si>
    <t>2016/10/05</t>
  </si>
  <si>
    <t>H04L  1/00</t>
  </si>
  <si>
    <t>CN201210001680.X</t>
  </si>
  <si>
    <t>线宽间距交变结构型平面螺旋电感</t>
  </si>
  <si>
    <t>田文超|孙昊|杨银堂</t>
  </si>
  <si>
    <t>田文超</t>
  </si>
  <si>
    <t>2012/01/04</t>
  </si>
  <si>
    <t>2012/06/27</t>
  </si>
  <si>
    <t>H01F 17/02</t>
  </si>
  <si>
    <t>0.55</t>
  </si>
  <si>
    <t>13/684,103</t>
  </si>
  <si>
    <t>Hybrid transformer structure on semiconductor devices</t>
  </si>
  <si>
    <t>Lo; Chi Shun|Lan; Je-Hsiung|Velez; Mario Francisco|Kim; Jonghae</t>
  </si>
  <si>
    <t>Lo; Chi Shun</t>
  </si>
  <si>
    <t>2012/11/21</t>
  </si>
  <si>
    <t>2016/08/30</t>
  </si>
  <si>
    <t>H01L 27/08</t>
  </si>
  <si>
    <t>14/155,244</t>
  </si>
  <si>
    <t>Varying thickness inductor</t>
  </si>
  <si>
    <t>Kim; Daeik Daniel|Zuo; Chengjie|Yun; Changhan Hobie|Velez; Mario Francisco|Mikulka; Robert Paul|Zhang; Xiangdong|Kim; Jonghae|Lan; Je-Hsiung</t>
  </si>
  <si>
    <t>Kim; Daeik Daniel</t>
  </si>
  <si>
    <t>2013/08/30</t>
  </si>
  <si>
    <t>2014/01/14</t>
  </si>
  <si>
    <t>H01F  5/00</t>
  </si>
  <si>
    <t>13/829,784</t>
  </si>
  <si>
    <t>Integration of a replica circuit and a transformer above a dielectric substrate</t>
  </si>
  <si>
    <t>Lan; Je-Hsiung|Lo; Chi Shun|Kim; Jonghae|Velez; Mario Francisco|Hong; John H.</t>
  </si>
  <si>
    <t>Lan; Je-Hsiung</t>
  </si>
  <si>
    <t>2017/04/25</t>
  </si>
  <si>
    <t>H03H</t>
  </si>
  <si>
    <t>H03H 11/28</t>
  </si>
  <si>
    <t>PCT/US2014/06293.1</t>
  </si>
  <si>
    <t>Multi spiral inductor</t>
  </si>
  <si>
    <t>Daeik Daniel Kim|Jonghae Kim|Changhan Hobie YUN|Mario Francisco Velez|Chengjie Zuo</t>
  </si>
  <si>
    <t>Daeik Daniel Kim</t>
  </si>
  <si>
    <t>2014/10/29</t>
  </si>
  <si>
    <t>2015/05/21</t>
  </si>
  <si>
    <t>CN200910236460.3</t>
  </si>
  <si>
    <t>对符合IEEE802.11协议的无线设备进行定位的方法</t>
  </si>
  <si>
    <t>李巍|李兰俊|李云春|李素香|罗莎莎</t>
  </si>
  <si>
    <t>李巍</t>
  </si>
  <si>
    <t>2009/10/22</t>
  </si>
  <si>
    <t>2010/04/21</t>
  </si>
  <si>
    <t>H04W 80/00</t>
  </si>
  <si>
    <t>4.58</t>
  </si>
  <si>
    <t>13/332,957</t>
  </si>
  <si>
    <t>RSSI-based indoor positioning in the presence of dynamic transmission power control access points</t>
  </si>
  <si>
    <t>Gupta; Rajarshi|Sridhara; Vinay</t>
  </si>
  <si>
    <t>2011/03/04</t>
  </si>
  <si>
    <t>2011/12/21</t>
  </si>
  <si>
    <t>14/731,264</t>
  </si>
  <si>
    <t>Indoor positioning in the presence of dynamic transmission power control access points</t>
  </si>
  <si>
    <t>2015/06/04</t>
  </si>
  <si>
    <t>2017/01/31</t>
  </si>
  <si>
    <t>CN201280021551.5</t>
  </si>
  <si>
    <t>存在动态发射功率控制接入点的情况下基于RSSI的室内定位</t>
  </si>
  <si>
    <t>R·古普塔|V·斯里答拉</t>
  </si>
  <si>
    <t>R·古普塔</t>
  </si>
  <si>
    <t>2015/08/19</t>
  </si>
  <si>
    <t>2014/01/08</t>
  </si>
  <si>
    <t>CN200910088901.X</t>
  </si>
  <si>
    <t>一种用于视频图像分块的方法及装置</t>
  </si>
  <si>
    <t>戴琼海|魏宇平|张乃尧</t>
  </si>
  <si>
    <t>戴琼海</t>
  </si>
  <si>
    <t>2.61</t>
  </si>
  <si>
    <t>13/013,687</t>
  </si>
  <si>
    <t>Smoothing overlapped regions resulting from geometric motion partitioning</t>
  </si>
  <si>
    <t>Chen; Peisong|Wang; Xianglin|Karczewicz; Marta</t>
  </si>
  <si>
    <t>Chen; Peisong</t>
  </si>
  <si>
    <t>2010/02/18</t>
  </si>
  <si>
    <t>2011/01/25</t>
  </si>
  <si>
    <t>2015/04/28</t>
  </si>
  <si>
    <t>H04B  1/66</t>
  </si>
  <si>
    <t>13/013,706</t>
  </si>
  <si>
    <t>Adaptive transform size selection for geometric motion partitioning</t>
  </si>
  <si>
    <t>2017/05/16</t>
  </si>
  <si>
    <t>H04N 19/119</t>
  </si>
  <si>
    <t>CN201180018707.X</t>
  </si>
  <si>
    <t>用于几何运动分割的定点实施方案</t>
  </si>
  <si>
    <t>拉詹·L·乔希|陈培松|马尔塔·卡切维奇</t>
  </si>
  <si>
    <t>拉詹·L·乔希</t>
  </si>
  <si>
    <t>2010/04/12</t>
  </si>
  <si>
    <t>2011/04/11</t>
  </si>
  <si>
    <t>H04N 19/52</t>
  </si>
  <si>
    <t>2012/12/26</t>
  </si>
  <si>
    <t>0.9</t>
  </si>
  <si>
    <t>CN200910058147.5</t>
  </si>
  <si>
    <t>一种臂式可穿戴计算机终端设备</t>
  </si>
  <si>
    <t>陈东义|陈朝阳|宋海涛|徐永丹|王  卉</t>
  </si>
  <si>
    <t>陈东义</t>
  </si>
  <si>
    <t>2009/01/15</t>
  </si>
  <si>
    <t>2009/07/08</t>
  </si>
  <si>
    <t>G06K 17/00</t>
  </si>
  <si>
    <t>1.16</t>
  </si>
  <si>
    <t>12/722,624</t>
  </si>
  <si>
    <t>Method and apparatus for communicating control information by a wearable device to control mobile and consumer electronic devices</t>
  </si>
  <si>
    <t>Linsky; Joel Benjamin|Michaelis; Oliver|Jaime; Manuel Eduardo</t>
  </si>
  <si>
    <t>Linsky; Joel Benjamin</t>
  </si>
  <si>
    <t>2009/07/23</t>
  </si>
  <si>
    <t>G06F  7/00</t>
  </si>
  <si>
    <t>0.36</t>
  </si>
  <si>
    <t>12/722,640</t>
  </si>
  <si>
    <t>Method and apparatus for controlling mobile and consumer electronic devices</t>
  </si>
  <si>
    <t>G09G  5/00</t>
  </si>
  <si>
    <t>12/722,631</t>
  </si>
  <si>
    <t>Method and apparatus for distributed user interfaces using wearable devices to control mobile and consumer electronic devices</t>
  </si>
  <si>
    <t>2015/05/12</t>
  </si>
  <si>
    <t>CN201080033271.7</t>
  </si>
  <si>
    <t>供分布式用户接口使用可穿戴装置来控制移动及消费型电子装置的方法及设备</t>
  </si>
  <si>
    <t>乔尔·本杰明·林斯基|奥利弗·米凯利斯|曼纽尔·爱德华多·热姆</t>
  </si>
  <si>
    <t>乔尔·本杰明·林斯基</t>
  </si>
  <si>
    <t>2010/07/23</t>
  </si>
  <si>
    <t>1.71</t>
  </si>
  <si>
    <t>CN200810162904.9</t>
  </si>
  <si>
    <t>多核平台下基于硬件计时器与任务队列的调度方法</t>
  </si>
  <si>
    <t>陈天洲|王  罡|冯德贵|陈  度|吴斌斌|刘敬伟</t>
  </si>
  <si>
    <t>陈天洲</t>
  </si>
  <si>
    <t>2008/12/04</t>
  </si>
  <si>
    <t>8.38</t>
  </si>
  <si>
    <t>13/364,849</t>
  </si>
  <si>
    <t>Conserving power through work load estimation for a portable computing device using scheduled resource set transitions</t>
  </si>
  <si>
    <t>Stubbs; Joshua H.|Frantz; Andrew J.|Sweeney; Sean D.</t>
  </si>
  <si>
    <t>Stubbs; Joshua H.</t>
  </si>
  <si>
    <t>2011/11/11</t>
  </si>
  <si>
    <t>2012/02/02</t>
  </si>
  <si>
    <t>2015/02/10</t>
  </si>
  <si>
    <t>14/188,077</t>
  </si>
  <si>
    <t>2014/02/24</t>
  </si>
  <si>
    <t>13/291,767</t>
  </si>
  <si>
    <t>System for minimizing resource latency between processor application states in a portable computing device by scheduling resource state set transitions</t>
  </si>
  <si>
    <t>Stubbs; Joshua H.|Frantz; Andrew J.|Gargash; Norman S.|Watkins; Gabriel A.|Caraway; Grady L.</t>
  </si>
  <si>
    <t>2010/12/21</t>
  </si>
  <si>
    <t>2011/11/08</t>
  </si>
  <si>
    <t>13/069,071</t>
  </si>
  <si>
    <t>Method and system for rapid entry into and for rapid exiting from sleep states for processors of a portable computing device</t>
  </si>
  <si>
    <t>Frantz; Andrew J.|Horn; Dianne D.|Stubbs; Joshua H.</t>
  </si>
  <si>
    <t>Frantz; Andrew J.</t>
  </si>
  <si>
    <t>2011/03/22</t>
  </si>
  <si>
    <t>2016/03/15</t>
  </si>
  <si>
    <t>CN200710178093.7</t>
  </si>
  <si>
    <t>一种无线通信系统上行(反向)链路功率控制方法</t>
  </si>
  <si>
    <t>邱  禹|冯春燕|曾志民|张天魁</t>
  </si>
  <si>
    <t>邱  禹</t>
  </si>
  <si>
    <t>2009/04/01</t>
  </si>
  <si>
    <t>H04B  7/005</t>
  </si>
  <si>
    <t>9.12</t>
  </si>
  <si>
    <t>13/171,002</t>
  </si>
  <si>
    <t>Method and apparatus for device transmit power capping in wireless communications</t>
  </si>
  <si>
    <t>Zhou; Yan|Meshkati; Farhad|Chande; Vinay|Yavuz; Mehmet|Jiang; Yi</t>
  </si>
  <si>
    <t>Zhou; Yan</t>
  </si>
  <si>
    <t>2011/06/28</t>
  </si>
  <si>
    <t>14/611,627</t>
  </si>
  <si>
    <t>2015/02/02</t>
  </si>
  <si>
    <t>CN201180031844.7</t>
  </si>
  <si>
    <t>用于在无线通信中为设备发射功率设置上限的方法和装置</t>
  </si>
  <si>
    <t>周彦|F·梅什卡蒂|V·昌德|M·亚武兹|Y·江</t>
  </si>
  <si>
    <t>周彦</t>
  </si>
  <si>
    <t>2016/04/27</t>
  </si>
  <si>
    <t>H04W 52/14</t>
  </si>
  <si>
    <t>0.34</t>
  </si>
  <si>
    <t>CN200810167869.X</t>
  </si>
  <si>
    <t>异构网络中的用户终端接入控制方法及其系统</t>
  </si>
  <si>
    <t>周文安|胡  浩|陈  湉|马  飞|宋俊德|戴  鹏|杨  晖|刘庆攀</t>
  </si>
  <si>
    <t>周文安</t>
  </si>
  <si>
    <t>2008/10/15</t>
  </si>
  <si>
    <t>6.79</t>
  </si>
  <si>
    <t>12/959,223</t>
  </si>
  <si>
    <t>Method and apparatus for wireless distributed computing</t>
  </si>
  <si>
    <t>Krishnaswamy; Dilip|Yallapragada; Subbarao V.|Nanda; Sanjiv|Das; Soumya|Soliman; Samir Salib|Tinnakornsrisuphap; Peerapol|Narayanan; Vidya</t>
  </si>
  <si>
    <t>Krishnaswamy; Dilip</t>
  </si>
  <si>
    <t>2010/06/04</t>
  </si>
  <si>
    <t>2010/12/02</t>
  </si>
  <si>
    <t>H04N  7/16</t>
  </si>
  <si>
    <t>14/252,195</t>
  </si>
  <si>
    <t>Krishnaswamy; Dilip|Yallapragada; Subbarao V.|Nanda; Sanjiv</t>
  </si>
  <si>
    <t>2014/04/14</t>
  </si>
  <si>
    <t>H04M 11/04</t>
  </si>
  <si>
    <t>CN201180027622.8</t>
  </si>
  <si>
    <t>用于无线分布式计算的方法和装置</t>
  </si>
  <si>
    <t>D·克里希纳斯瓦米|S·V·亚拉普拉加达|S·南达|S·达斯|S·S·索利曼|P·丁娜功西素帕普|V·纳拉亚南</t>
  </si>
  <si>
    <t>D·克里希纳斯瓦米</t>
  </si>
  <si>
    <t>2011/06/03</t>
  </si>
  <si>
    <t>2015/10/07</t>
  </si>
  <si>
    <t>H04W 84/04</t>
  </si>
  <si>
    <t>CN200810042232.8</t>
  </si>
  <si>
    <t>基于DSRC的车辆紧急信息发送机制及系统</t>
  </si>
  <si>
    <t>同济大学</t>
  </si>
  <si>
    <t>刘富强|徐尚志|王新红|钱业青|王  平|李志鹏|刘  凯|杜  珊|单联海|高智伟|舒文杰</t>
  </si>
  <si>
    <t>刘富强</t>
  </si>
  <si>
    <t>2008/08/29</t>
  </si>
  <si>
    <t>2009/01/21</t>
  </si>
  <si>
    <t>G08G</t>
  </si>
  <si>
    <t>G08G  1/00</t>
  </si>
  <si>
    <t>18.49</t>
  </si>
  <si>
    <t>13/396,336</t>
  </si>
  <si>
    <t>Priority registration for in-vehicle emergency call service</t>
  </si>
  <si>
    <t>Leung; Nikolai Konrad|Dhanda; Mungal Singh</t>
  </si>
  <si>
    <t>Leung; Nikolai Konrad</t>
  </si>
  <si>
    <t>2011/05/11</t>
  </si>
  <si>
    <t>CN201280022369.1</t>
  </si>
  <si>
    <t>建立紧急呼叫的方法和设备</t>
  </si>
  <si>
    <t>金-巴普提斯提·伯特兰德·鲍尔度|尼古拉·康拉德·梁</t>
  </si>
  <si>
    <t>金-巴普提斯提·伯特兰德·鲍尔度</t>
  </si>
  <si>
    <t>2012/03/21</t>
  </si>
  <si>
    <t>G08G  1/127</t>
  </si>
  <si>
    <t>CN201280022366.8</t>
  </si>
  <si>
    <t>用于车内紧急呼叫服务的优先级注册</t>
  </si>
  <si>
    <t>尼古拉·康拉德·梁|蒙加尔·辛格·丹达</t>
  </si>
  <si>
    <t>尼古拉·康拉德·梁</t>
  </si>
  <si>
    <t>2012/04/05</t>
  </si>
  <si>
    <t>2017/05/24</t>
  </si>
  <si>
    <t>H04W  4/22</t>
  </si>
  <si>
    <t>用于车内紧急呼叫服务的优先权注册</t>
  </si>
  <si>
    <t>金 -巴普提斯提·伯特兰德·鲍尔度|尼古拉·康拉德·梁</t>
  </si>
  <si>
    <t>金 -巴普提斯提·伯特兰德·鲍尔度</t>
  </si>
  <si>
    <t>2014/01/15</t>
  </si>
  <si>
    <t>CN200710176723.7</t>
  </si>
  <si>
    <t>一种多天线多小区系统中的有限反馈预编码干扰抑制方法</t>
  </si>
  <si>
    <t>中国科学技术大学</t>
  </si>
  <si>
    <t>中国科学院</t>
  </si>
  <si>
    <t>刘乃金|邱  玲|朱近康</t>
  </si>
  <si>
    <t>刘乃金</t>
  </si>
  <si>
    <t>2007/11/01</t>
  </si>
  <si>
    <t>2008/04/09</t>
  </si>
  <si>
    <t>23.69</t>
  </si>
  <si>
    <t>12/941,781</t>
  </si>
  <si>
    <t>System and method for single frequency dual cell high speed downlink packet access</t>
  </si>
  <si>
    <t>Blanz; Josef J.|Sambhwani; Sharad Deepak</t>
  </si>
  <si>
    <t>Blanz; Josef J.</t>
  </si>
  <si>
    <t>2009/11/09</t>
  </si>
  <si>
    <t>2010/11/08</t>
  </si>
  <si>
    <t>CN200980117536.9</t>
  </si>
  <si>
    <t>用于无线通信的空间干扰抑制</t>
  </si>
  <si>
    <t>A·Y·戈罗霍夫</t>
  </si>
  <si>
    <t>2008/05/15</t>
  </si>
  <si>
    <t>2009/05/15</t>
  </si>
  <si>
    <t>2014/10/01</t>
  </si>
  <si>
    <t>CN201080044510.9</t>
  </si>
  <si>
    <t>用于MIMO传输的信道状态信息的可扩展量化的方法和装置</t>
  </si>
  <si>
    <t>S·马利克|A·Y·戈罗霍夫|W·南</t>
  </si>
  <si>
    <t>2009/10/08</t>
  </si>
  <si>
    <t>2012/07/04</t>
  </si>
  <si>
    <t>CN200710119071.3</t>
  </si>
  <si>
    <t>用于WCDMA直放站系统的在频域实现的干扰抵消方法</t>
  </si>
  <si>
    <t>林家儒|牛  凯|贺志强|林雪红|徐文波|田  耘</t>
  </si>
  <si>
    <t>林家儒</t>
  </si>
  <si>
    <t>2007/06/19</t>
  </si>
  <si>
    <t>2007/11/21</t>
  </si>
  <si>
    <t>7.81</t>
  </si>
  <si>
    <t>12/776,867</t>
  </si>
  <si>
    <t>Channel estimate pruning in presence of large signal dynamics in an interference cancellation repeater</t>
  </si>
  <si>
    <t>Gore; Dhananjay Ashok|Barriac; Gwendolyn Denise|Wang; Michael Mao</t>
  </si>
  <si>
    <t>2010/05/10</t>
  </si>
  <si>
    <t>12/776,998</t>
  </si>
  <si>
    <t>Removal of ICI/ISI errors in frequency domain channel estimation for wireless repeaters</t>
  </si>
  <si>
    <t>Barriac; Gwendolyn Denise|Howard; Steven J.|Gore; Dhananjay Ashok</t>
  </si>
  <si>
    <t>Barriac; Gwendolyn Denise</t>
  </si>
  <si>
    <t>2015/06/02</t>
  </si>
  <si>
    <t>WO2010US34416</t>
  </si>
  <si>
    <t>FREQUENCY DOMAIN CHANNEL ESTIMATION FOR WIRELES S REPEATERS</t>
  </si>
  <si>
    <t>QUALCOMM INC|GORE DHANANJAY ASHOK|BARRIAC GWENDOLYN DENISE|HOWARD STEVEN J</t>
  </si>
  <si>
    <t>qualcomm|GORE DHANANJAY ASHOK|BARRIAC GWENDOLYN DENISE|HOWARD STEVEN J</t>
  </si>
  <si>
    <t>GORE DHANANJAY ASHOK|BARRIAC GWENDOLYN DENISE|HOWARD STEVEN J</t>
  </si>
  <si>
    <t>GORE DHANANJAY ASHOK</t>
  </si>
  <si>
    <t>2011/03/24</t>
  </si>
  <si>
    <t>其他</t>
  </si>
  <si>
    <t>WO2010US34424</t>
  </si>
  <si>
    <t>FREQUENCY DOMAIN CHANNEL ESTIMATION FOR WIRELESS REPEATERS</t>
  </si>
  <si>
    <t>QUALCOMM INC|BARRIAC GWENDOLYN DENISE|PROCTOR JAMES ARTHUR|GORE DHANANJAY ASHOK|WANG MICHAEL MAO|TIAN TAO</t>
  </si>
  <si>
    <t>qualcomm|BARRIAC GWENDOLYN DENISE|PROCTOR JAMES ARTHUR|GORE DHANANJAY ASHOK|WANG MICHAEL MAO|TIAN TAO</t>
  </si>
  <si>
    <t>BARRIAC GWENDOLYN DENISE|PROCTOR JAMES ARTHUR|GORE DHANANJAY ASHOK|WANG MICHAEL MAO|TIAN TAO</t>
  </si>
  <si>
    <t>BARRIAC GWENDOLYN DENISE</t>
  </si>
  <si>
    <t>2011/04/07</t>
  </si>
  <si>
    <t>CN200710017816.5</t>
  </si>
  <si>
    <t>一种无线局域网的分组冲突解决方法</t>
  </si>
  <si>
    <t>西北工业大学</t>
  </si>
  <si>
    <t>李  波</t>
  </si>
  <si>
    <t>2007/05/10</t>
  </si>
  <si>
    <t>2007/10/10</t>
  </si>
  <si>
    <t>H04L 12/56</t>
  </si>
  <si>
    <t>14.10</t>
  </si>
  <si>
    <t>13/089,976</t>
  </si>
  <si>
    <t>Mobile device requests of non-communication time periods to a wireless communication network</t>
  </si>
  <si>
    <t>Mutya; Subbarayudu|Sanka; Suresh</t>
  </si>
  <si>
    <t>Mutya; Subbarayudu</t>
  </si>
  <si>
    <t>2011/04/19</t>
  </si>
  <si>
    <t>2014/05/13</t>
  </si>
  <si>
    <t>H04W  8/18</t>
  </si>
  <si>
    <t>13/580,950</t>
  </si>
  <si>
    <t>Apparatus and method for interference mitigation</t>
  </si>
  <si>
    <t>Li; Yan|Gao; Lu</t>
  </si>
  <si>
    <t>Li; Yan</t>
  </si>
  <si>
    <t>2010/03/17</t>
  </si>
  <si>
    <t>2010/03/30</t>
  </si>
  <si>
    <t>H04B  1/10</t>
  </si>
  <si>
    <t>13/577,907</t>
  </si>
  <si>
    <t>Reducing in-device interference between multiple wireless communications of a multi-mode mobile device</t>
  </si>
  <si>
    <t>2011/02/23</t>
  </si>
  <si>
    <t>H04W 24/02</t>
  </si>
  <si>
    <t>PCT/CN2011/07118.3</t>
  </si>
  <si>
    <t>Yan Li|Lu Gao</t>
  </si>
  <si>
    <t>Yan Li</t>
  </si>
  <si>
    <t>2011/09/22</t>
  </si>
  <si>
    <t>H04W 28/16</t>
  </si>
  <si>
    <t>1.43</t>
  </si>
  <si>
    <t>CN200710048299.8</t>
  </si>
  <si>
    <t>全频带自然音效声频定向扬声器</t>
  </si>
  <si>
    <t>徐利梅|陈  敏|王  祎|李学生|李  辉</t>
  </si>
  <si>
    <t>徐利梅</t>
  </si>
  <si>
    <t>2007/01/19</t>
  </si>
  <si>
    <t>2007/08/08</t>
  </si>
  <si>
    <t>H04R  3/04</t>
  </si>
  <si>
    <t>3.71</t>
  </si>
  <si>
    <t>13/047,675</t>
  </si>
  <si>
    <t>Adaptive gain adjustment system</t>
  </si>
  <si>
    <t>Miao; Guoqing|Scofield; William C.|Hugunin; Derick R.</t>
  </si>
  <si>
    <t>Miao; Guoqing</t>
  </si>
  <si>
    <t>2010/11/30</t>
  </si>
  <si>
    <t>2011/03/14</t>
  </si>
  <si>
    <t>2014/05/06</t>
  </si>
  <si>
    <t>H03M  1/00</t>
  </si>
  <si>
    <t>12/041,414</t>
  </si>
  <si>
    <t>System and method of reducing power consumption for audio playback</t>
  </si>
  <si>
    <t>Bazarjani; Seyfollah|Miao; Guoqing|Fitzgerald; Joseph R.|Kulkarni; Prajakt V.|Gagne; Justin Joseph Rosen|McAllister; Gene H.|Hinrichs; Jeffrey|van der Wagt; Jan Paul</t>
  </si>
  <si>
    <t>Bazarjani; Seyfollah</t>
  </si>
  <si>
    <t>2008/03/03</t>
  </si>
  <si>
    <t>H03F</t>
  </si>
  <si>
    <t>H03F 99/00</t>
  </si>
  <si>
    <t>CN201080012765.7</t>
  </si>
  <si>
    <t>D类放大器系统中的用以减少噪声折叠的数字滤波</t>
  </si>
  <si>
    <t>苗国庆|马特·司恩科|赛福拉·巴扎亚尼</t>
  </si>
  <si>
    <t>苗国庆</t>
  </si>
  <si>
    <t>2009/03/19</t>
  </si>
  <si>
    <t>2010/03/18</t>
  </si>
  <si>
    <t>H03F  3/217</t>
  </si>
  <si>
    <t>2012/02/15</t>
  </si>
  <si>
    <t>0.45</t>
  </si>
  <si>
    <t>CN200610112896.8</t>
  </si>
  <si>
    <t>超宽带射频发射端系统结构</t>
  </si>
  <si>
    <t>宋  飞|廖怀林|黄  如</t>
  </si>
  <si>
    <t>宋  飞</t>
  </si>
  <si>
    <t>H04B  7/12</t>
  </si>
  <si>
    <t>5.20</t>
  </si>
  <si>
    <t>13/357,458</t>
  </si>
  <si>
    <t>Low power ultra wideband transceivers</t>
  </si>
  <si>
    <t>Soliman; Samir|Dural; Ozgur|Rajamani; Krishnan|Chrabieh; Rabih</t>
  </si>
  <si>
    <t>Soliman; Samir</t>
  </si>
  <si>
    <t>2009/02/12</t>
  </si>
  <si>
    <t>2012/01/24</t>
  </si>
  <si>
    <t>2013/10/08</t>
  </si>
  <si>
    <t>0.38</t>
  </si>
  <si>
    <t>13/793,936</t>
  </si>
  <si>
    <t>2016/03/08</t>
  </si>
  <si>
    <t>CN201080007853.8</t>
  </si>
  <si>
    <t>低功率超宽带发射机和接收机</t>
  </si>
  <si>
    <t>S·S·索利曼|O·杜伦|K·拉贾马尼|R·查拉贝斯</t>
  </si>
  <si>
    <t>S·S·索利曼</t>
  </si>
  <si>
    <t>2010/02/12</t>
  </si>
  <si>
    <t>2013/08/21</t>
  </si>
  <si>
    <t>H04B  1/719</t>
  </si>
  <si>
    <t>2012/01/11</t>
  </si>
  <si>
    <t>CN03823847.0</t>
  </si>
  <si>
    <t>能量收获电路及其所关联的方法</t>
  </si>
  <si>
    <t>匹兹堡大学高等教育联邦体系</t>
  </si>
  <si>
    <t>匹兹堡大学</t>
  </si>
  <si>
    <t>马林·H·迈克尔|克里斯托弗·C·卡佩利|哈罗尔德·斯维夫特</t>
  </si>
  <si>
    <t>马林·H·迈克尔</t>
  </si>
  <si>
    <t>2002/08/15</t>
  </si>
  <si>
    <t>2003/08/05</t>
  </si>
  <si>
    <t>H01Q  1/26</t>
  </si>
  <si>
    <t>12/136,764</t>
  </si>
  <si>
    <t>Wireless power system and proximity effects</t>
  </si>
  <si>
    <t>Cook; Nigel P.|Meier; Paul|Secall; Marc</t>
  </si>
  <si>
    <t>2007/06/11</t>
  </si>
  <si>
    <t>2008/06/10</t>
  </si>
  <si>
    <t>11/654,883</t>
  </si>
  <si>
    <t>Method and apparatus for delivering energy to an electrical or electronic device via a wireless link</t>
  </si>
  <si>
    <t>Cook; Nigel P.|Levine; Richard C.</t>
  </si>
  <si>
    <t>2006/01/18</t>
  </si>
  <si>
    <t>2007/01/17</t>
  </si>
  <si>
    <t>12/018,069</t>
  </si>
  <si>
    <t>Wireless power apparatus and methods</t>
  </si>
  <si>
    <t>Cook; Nigel P.|Meier; Paul|Sieber; Lukas|Secall; Marc|Widmer; Hanspeter</t>
  </si>
  <si>
    <t>2008/01/22</t>
  </si>
  <si>
    <t>2017/09/26</t>
  </si>
  <si>
    <t>CN201310045954.X</t>
  </si>
  <si>
    <t>增加谐振器的Q因数</t>
  </si>
  <si>
    <t>卢卡斯·西贝尔|奈杰尔·P·库克</t>
  </si>
  <si>
    <t>卢卡斯·西贝尔</t>
  </si>
  <si>
    <t>2007/08/09</t>
  </si>
  <si>
    <t>2008/08/11</t>
  </si>
  <si>
    <t>2016/08/24</t>
  </si>
  <si>
    <t>H01Q  1/22</t>
  </si>
  <si>
    <t>CN200510038646.X</t>
  </si>
  <si>
    <t>空时分组码分块传输的迭代检测方法</t>
  </si>
  <si>
    <t>尤肖虎|高西奇|王东明</t>
  </si>
  <si>
    <t>尤肖虎</t>
  </si>
  <si>
    <t>2005/09/28</t>
  </si>
  <si>
    <t>2.23</t>
  </si>
  <si>
    <t>12/262,155</t>
  </si>
  <si>
    <t>Method and apparatus for signaling transmission characteristics in a wireless communication network</t>
  </si>
  <si>
    <t>Lakkis; Ismail</t>
  </si>
  <si>
    <t>2007/10/31</t>
  </si>
  <si>
    <t>2008/10/30</t>
  </si>
  <si>
    <t>12/703,543</t>
  </si>
  <si>
    <t>Taghavi Nasrabadi; Mohammad Hossein|Sampath; Hemanth|Jain; Avinash|Lakkis; Ismail</t>
  </si>
  <si>
    <t>Taghavi Nasrabadi; Mohammad Hossein</t>
  </si>
  <si>
    <t>2010/02/10</t>
  </si>
  <si>
    <t>2015/04/14</t>
  </si>
  <si>
    <t>CN201080065753.0</t>
  </si>
  <si>
    <t>用于在无线通信网络中表明传输特性的方法和装置</t>
  </si>
  <si>
    <t>M·H·塔加维纳斯拉巴蒂|H·桑帕斯|A·贾殷|I·拉基斯</t>
  </si>
  <si>
    <t>M·H·塔加维纳斯拉巴蒂</t>
  </si>
  <si>
    <t>2016/02/03</t>
  </si>
  <si>
    <t>H04W 84/12</t>
  </si>
  <si>
    <t>2012/12/05</t>
  </si>
  <si>
    <t>CN01109301.3</t>
  </si>
  <si>
    <t>CDMA蜂窝系统两级变码片速率扩频和解扩方法</t>
  </si>
  <si>
    <t>信息产业部电信传输研究所|西南交通大学</t>
  </si>
  <si>
    <t>郝莉|范平志</t>
  </si>
  <si>
    <t>郝莉</t>
  </si>
  <si>
    <t>2001/02/28</t>
  </si>
  <si>
    <t>2001/07/11</t>
  </si>
  <si>
    <t>H04J 13/02</t>
  </si>
  <si>
    <t>8.43</t>
  </si>
  <si>
    <t>11/777,250</t>
  </si>
  <si>
    <t>Multi-carrier transmitter for wireless communication</t>
  </si>
  <si>
    <t>Rick; Roland Reinhard|Tang; Kai</t>
  </si>
  <si>
    <t>Rick; Roland Reinhard</t>
  </si>
  <si>
    <t>2006/07/14</t>
  </si>
  <si>
    <t>2007/07/12</t>
  </si>
  <si>
    <t>13/277,437</t>
  </si>
  <si>
    <t>Range extension techniques for a wireless local area network</t>
  </si>
  <si>
    <t>Wallace; Mark S|Walton; Jay Rodney</t>
  </si>
  <si>
    <t>Wallace; Mark S</t>
  </si>
  <si>
    <t>2005/12/13</t>
  </si>
  <si>
    <t>2011/10/20</t>
  </si>
  <si>
    <t>13/277,456</t>
  </si>
  <si>
    <t>2014/07/29</t>
  </si>
  <si>
    <t>CN201110072152.9</t>
  </si>
  <si>
    <t>用于扩大无线局域网的射程的方法和装置</t>
  </si>
  <si>
    <t>M·S·华莱仕|J·R·沃尔顿</t>
  </si>
  <si>
    <t>M·S·华莱仕</t>
  </si>
  <si>
    <t>2006/12/13</t>
  </si>
  <si>
    <t>2014/02/19</t>
  </si>
  <si>
    <t>H04B  1/7075</t>
  </si>
  <si>
    <t>CN201210116361.3</t>
  </si>
  <si>
    <t>智能家居灯光控制系统</t>
  </si>
  <si>
    <t>天津工业大学</t>
  </si>
  <si>
    <t>李阳|李群|李劲松</t>
  </si>
  <si>
    <t>李阳</t>
  </si>
  <si>
    <t>2012/04/20</t>
  </si>
  <si>
    <t>H05B</t>
  </si>
  <si>
    <t>H05B 37/02</t>
  </si>
  <si>
    <t>14/286,476</t>
  </si>
  <si>
    <t>Delayed actions for a decentralized system of learning devices</t>
  </si>
  <si>
    <t>Canoy; Michael-David Nakayoshi</t>
  </si>
  <si>
    <t>2013/05/24</t>
  </si>
  <si>
    <t>2014/05/23</t>
  </si>
  <si>
    <t>2016/11/29</t>
  </si>
  <si>
    <t>14/286,602</t>
  </si>
  <si>
    <t>Signaling device for teaching learning devices</t>
  </si>
  <si>
    <t>Canoy; Michael-David Nakayoshi|Konertz; Anne Katrin|Chau; Kiet Tuan|Mohan; Siddharth</t>
  </si>
  <si>
    <t>2017/06/13</t>
  </si>
  <si>
    <t>14/286,244</t>
  </si>
  <si>
    <t>Learning device with continuous configuration capability</t>
  </si>
  <si>
    <t>G06N 99/00</t>
  </si>
  <si>
    <t>CN201010624035.4</t>
  </si>
  <si>
    <t>上行功率控制方法、用户设备和载波聚合系统</t>
  </si>
  <si>
    <t>崔琪楣|张平|黄雪晴|王强|陶小峰</t>
  </si>
  <si>
    <t>崔琪楣</t>
  </si>
  <si>
    <t>2010/12/31</t>
  </si>
  <si>
    <t>2011/05/25</t>
  </si>
  <si>
    <t>H04W 52/10</t>
  </si>
  <si>
    <t>8.50</t>
  </si>
  <si>
    <t>13/558,110</t>
  </si>
  <si>
    <t>Transmission of control information in a wireless network with carrier aggregation</t>
  </si>
  <si>
    <t>Damnjanovic; Jelena M.|Chen; Wanshi|Montojo; Juan|Wei; Yongbin</t>
  </si>
  <si>
    <t>Damnjanovic; Jelena M.</t>
  </si>
  <si>
    <t>2011/07/26</t>
  </si>
  <si>
    <t>2012/07/25</t>
  </si>
  <si>
    <t>2016/12/06</t>
  </si>
  <si>
    <t>CN201280044559.3</t>
  </si>
  <si>
    <t>在无线网络中，使用载波聚合进行控制信息的传输</t>
  </si>
  <si>
    <t>J·M·达姆尼亚诺维奇|W·陈|J·蒙托霍|魏永斌</t>
  </si>
  <si>
    <t>J·M·达姆尼亚诺维奇</t>
  </si>
  <si>
    <t>2012/07/26</t>
  </si>
  <si>
    <t>2016/04/06</t>
  </si>
  <si>
    <t>2014/05/14</t>
  </si>
  <si>
    <t>CN201010537843.7</t>
  </si>
  <si>
    <t>一种视觉目标识别与跟踪方法</t>
  </si>
  <si>
    <t>上海电机学院</t>
  </si>
  <si>
    <t>熊玉梅|宁建红|闫俊英</t>
  </si>
  <si>
    <t>熊玉梅</t>
  </si>
  <si>
    <t>2010/11/09</t>
  </si>
  <si>
    <t>2011/03/16</t>
  </si>
  <si>
    <t>G06T</t>
  </si>
  <si>
    <t>G06T  7/20</t>
  </si>
  <si>
    <t>9.28</t>
  </si>
  <si>
    <t>13/117,472</t>
  </si>
  <si>
    <t>Dataset creation for tracking targets with dynamically changing portions</t>
  </si>
  <si>
    <t>Wagner; Daniel|Szalavari; Zsolt Szabolcs</t>
  </si>
  <si>
    <t>Wagner; Daniel</t>
  </si>
  <si>
    <t>2010/05/28</t>
  </si>
  <si>
    <t>2011/05/27</t>
  </si>
  <si>
    <t>14/967,189</t>
  </si>
  <si>
    <t>2015/12/11</t>
  </si>
  <si>
    <t>CN201180026296.9</t>
  </si>
  <si>
    <t>用于跟踪具有动态变化部分的目标的数据集创建</t>
  </si>
  <si>
    <t>D·瓦格纳|Z·S·萨拉瓦里</t>
  </si>
  <si>
    <t>D·瓦格纳</t>
  </si>
  <si>
    <t>2016/08/03</t>
  </si>
  <si>
    <t>CN200920167170.3</t>
  </si>
  <si>
    <t>基于无线局域网的室内定位设备</t>
  </si>
  <si>
    <t>武汉大学</t>
  </si>
  <si>
    <t>周怀北|赵永翔|田在荣|孔若杉|冯晶|陈淼|温斌|高刃</t>
  </si>
  <si>
    <t>周怀北</t>
  </si>
  <si>
    <t>2009/08/03</t>
  </si>
  <si>
    <t>实用</t>
  </si>
  <si>
    <t>1.89</t>
  </si>
  <si>
    <t>TW101101811</t>
  </si>
  <si>
    <t>在动态传输功率控制存取点处之基于接收信号强度指示之室内定位</t>
  </si>
  <si>
    <t>高通公司</t>
  </si>
  <si>
    <t>吉普塔　雷贾席|斯瑞德哈拉　维那伊</t>
  </si>
  <si>
    <t>吉普塔　雷贾席</t>
  </si>
  <si>
    <t>2012/01/17</t>
  </si>
  <si>
    <t>2014/11/21</t>
  </si>
  <si>
    <t>H04W 52/18</t>
  </si>
  <si>
    <t>CN201010260960.3</t>
  </si>
  <si>
    <t>一种全差分CMOS多模低噪声放大器</t>
  </si>
  <si>
    <t>任俊彦|张楷晨|周锋|李巍|李宁|许俊|叶凡</t>
  </si>
  <si>
    <t>任俊彦</t>
  </si>
  <si>
    <t>2010/08/24</t>
  </si>
  <si>
    <t>H03F  3/45</t>
  </si>
  <si>
    <t>7.22</t>
  </si>
  <si>
    <t>14/143,158</t>
  </si>
  <si>
    <t>Frequency fine tuning</t>
  </si>
  <si>
    <t>Qualcomm Technologies International, LTD.</t>
  </si>
  <si>
    <t>Story; Michael John</t>
  </si>
  <si>
    <t>2013/12/30</t>
  </si>
  <si>
    <t>H03L</t>
  </si>
  <si>
    <t>H03L  7/099</t>
  </si>
  <si>
    <t>14/150,014</t>
  </si>
  <si>
    <t>Current controlled transconducting inverting amplifiers</t>
  </si>
  <si>
    <t>QUALCOMM TECHNOLOGIES INTERNATIONAL, LTD.</t>
  </si>
  <si>
    <t>H03F  3/68</t>
  </si>
  <si>
    <t>14/150,164</t>
  </si>
  <si>
    <t>Analogue-to-digital converter</t>
  </si>
  <si>
    <t>Miaille; Gerald|Story; Michael John|Mavridis; Dimitrios</t>
  </si>
  <si>
    <t>Miaille; Gerald</t>
  </si>
  <si>
    <t>G01R</t>
  </si>
  <si>
    <t>G01R 23/02</t>
  </si>
  <si>
    <t>CN200710151834.2</t>
  </si>
  <si>
    <t>一种抗反馈误差的方法及系统及装置</t>
  </si>
  <si>
    <t>华为技术有限公司|东南大学</t>
  </si>
  <si>
    <t>王  炎|朱鹏程|李元杰</t>
  </si>
  <si>
    <t>王  炎</t>
  </si>
  <si>
    <t>2007/09/20</t>
  </si>
  <si>
    <t>2009/03/25</t>
  </si>
  <si>
    <t>H04B  7/08</t>
  </si>
  <si>
    <t>2.14</t>
  </si>
  <si>
    <t>PCT/CN2013/07716.4</t>
  </si>
  <si>
    <t>Two-dimensional discrete fourier transform (2d-dft) based codebook for elevation beamforming</t>
  </si>
  <si>
    <t>Peng Cheng|Chao Wei|Neng Wang|Jilei Hou</t>
  </si>
  <si>
    <t>Peng Cheng</t>
  </si>
  <si>
    <t>2013/06/13</t>
  </si>
  <si>
    <t>2014/12/18</t>
  </si>
  <si>
    <t>H04W 88/02</t>
  </si>
  <si>
    <t>PCT/CN2014/07973.5</t>
  </si>
  <si>
    <t>Two-dimensional discrete fourier transform (2d- dft) based codebook for elevation beamforming</t>
  </si>
  <si>
    <t>2014/06/12</t>
  </si>
  <si>
    <t>PCT/CN2014/08810.1</t>
  </si>
  <si>
    <t>Codebook for elevation beamforming</t>
  </si>
  <si>
    <t>Yu Zhang|Chao Wei</t>
  </si>
  <si>
    <t>Yu Zhang</t>
  </si>
  <si>
    <t>2014/10/04</t>
  </si>
  <si>
    <t>2016/04/07</t>
  </si>
  <si>
    <t>CN200810200288.1</t>
  </si>
  <si>
    <t>单芯片多处理器任务调度管理方法</t>
  </si>
  <si>
    <t>上海大学</t>
  </si>
  <si>
    <t>胡越黎|冉  峰|王尧明|孙  斌|闫  科|张一驰</t>
  </si>
  <si>
    <t>胡越黎</t>
  </si>
  <si>
    <t>2009/03/18</t>
  </si>
  <si>
    <t>G06F  9/38</t>
  </si>
  <si>
    <t>26.70</t>
  </si>
  <si>
    <t>13/310,928</t>
  </si>
  <si>
    <t>Direct transfer of executable software image to memory allocated by target processor based on transferred image header</t>
  </si>
  <si>
    <t>Gupta; Nitin|Kim; Daniel H.|Malamant; Igor|Haehnichen; Steve</t>
  </si>
  <si>
    <t>Gupta; Nitin</t>
  </si>
  <si>
    <t>2011/12/05</t>
  </si>
  <si>
    <t>2015/06/16</t>
  </si>
  <si>
    <t>CN201180014509.6</t>
  </si>
  <si>
    <t>在多处理器系统中将可执行软件图像从主要处理器直接分散加载到一个或一个以上次要处理器</t>
  </si>
  <si>
    <t>尼丁·古谱塔|丹尼尔·H·金|伊戈尔·马拉曼特|史蒂夫·黑尼辰</t>
  </si>
  <si>
    <t>尼丁·古谱塔</t>
  </si>
  <si>
    <t>2010/03/22</t>
  </si>
  <si>
    <t>2016/02/24</t>
  </si>
  <si>
    <t>G06F 15/177</t>
  </si>
  <si>
    <t>CN200810096456.7</t>
  </si>
  <si>
    <t>视频编解码方法及装置</t>
  </si>
  <si>
    <t>华为技术有限公司|清华大学</t>
  </si>
  <si>
    <t>郑萧桢|毛  振|王子元|何  芸|许晓中|郑建铧</t>
  </si>
  <si>
    <t>郑萧桢</t>
  </si>
  <si>
    <t>2007/09/14</t>
  </si>
  <si>
    <t>17.44</t>
  </si>
  <si>
    <t>13/658,453</t>
  </si>
  <si>
    <t>Grouping of tiles for video coding</t>
  </si>
  <si>
    <t>Wang; Ye-Kui|Chen; Ying|Coban; Muhammed Zeyd|Karczewicz; Marta</t>
  </si>
  <si>
    <t>Wang; Ye-Kui</t>
  </si>
  <si>
    <t>2011/10/24</t>
  </si>
  <si>
    <t>2012/10/23</t>
  </si>
  <si>
    <t>H04N  7/32</t>
  </si>
  <si>
    <t>CN201280052336.1</t>
  </si>
  <si>
    <t>用于视频译码的瓦片的分组</t>
  </si>
  <si>
    <t>王益魁|陈盈|穆哈默德·扎伊·科班|马尔塔·卡切维奇</t>
  </si>
  <si>
    <t>王益魁</t>
  </si>
  <si>
    <t>2012/10/24</t>
  </si>
  <si>
    <t>2017/06/09</t>
  </si>
  <si>
    <t>H04N 19/46</t>
  </si>
  <si>
    <t>CN201280053106.7</t>
  </si>
  <si>
    <t>用于图片分割方案的统一设计</t>
  </si>
  <si>
    <t>穆哈默德·蔡德·科班|王益魁|马尔塔·卡切维奇</t>
  </si>
  <si>
    <t>穆哈默德·蔡德·科班</t>
  </si>
  <si>
    <t>2012/10/26</t>
  </si>
  <si>
    <t>2017/09/15</t>
  </si>
  <si>
    <t>H04N 19/174</t>
  </si>
  <si>
    <t>CN200710076042.3</t>
  </si>
  <si>
    <t>多频带天线</t>
  </si>
  <si>
    <t>清华大学|鸿富锦精密工业(深圳)有限公司</t>
  </si>
  <si>
    <t>清华大学|富士康</t>
  </si>
  <si>
    <t>陈文华|王  昕|冯正和</t>
  </si>
  <si>
    <t>陈文华</t>
  </si>
  <si>
    <t>2007/07/13</t>
  </si>
  <si>
    <t>H01Q  5/00</t>
  </si>
  <si>
    <t>2.36</t>
  </si>
  <si>
    <t>12/619,558</t>
  </si>
  <si>
    <t>Compact multi-band planar inverted F antenna</t>
  </si>
  <si>
    <t>Shi; Guining|Tran; Allen M.</t>
  </si>
  <si>
    <t>Shi; Guining</t>
  </si>
  <si>
    <t>2009/08/20</t>
  </si>
  <si>
    <t>2009/11/16</t>
  </si>
  <si>
    <t>H01Q  1/38</t>
  </si>
  <si>
    <t>CN201080037091.6</t>
  </si>
  <si>
    <t>小型多频带平面倒F型天线</t>
  </si>
  <si>
    <t>施贵宁|艾伦·M·陈</t>
  </si>
  <si>
    <t>施贵宁</t>
  </si>
  <si>
    <t>2010/08/20</t>
  </si>
  <si>
    <t>2015/05/20</t>
  </si>
  <si>
    <t>H01Q  1/48</t>
  </si>
  <si>
    <t>0.32</t>
  </si>
  <si>
    <t>CN200810066892.X</t>
  </si>
  <si>
    <t>一种被动式网络信息自动高效采集系统及方法</t>
  </si>
  <si>
    <t>哈尔滨工业大学深圳研究生院</t>
  </si>
  <si>
    <t>哈尔滨工业大学</t>
  </si>
  <si>
    <t>陈清财|王晓龙|郭鸿志|马天明|翁家才</t>
  </si>
  <si>
    <t>陈清财</t>
  </si>
  <si>
    <t>2008/04/29</t>
  </si>
  <si>
    <t>2008/09/10</t>
  </si>
  <si>
    <t>G06F 17/30</t>
  </si>
  <si>
    <t>12/712,983</t>
  </si>
  <si>
    <t>Methods and apparatus for enhanced overlay state maintenance</t>
  </si>
  <si>
    <t>Das; Saumitra Mohan|Narayanan; Vidya|Dondeti; Lakshminath Reddy|Jayaram; Ranjith S.</t>
  </si>
  <si>
    <t>2009/02/26</t>
  </si>
  <si>
    <t>2010/02/25</t>
  </si>
  <si>
    <t>CN201080009335.X</t>
  </si>
  <si>
    <t>用于确定对等覆盖网络的大小的方法和装置</t>
  </si>
  <si>
    <t>S·M·达斯|V·纳拉亚南|L·R·东代蒂|R·S·贾亚拉姆</t>
  </si>
  <si>
    <t>2010/02/26</t>
  </si>
  <si>
    <t>2015/04/15</t>
  </si>
  <si>
    <t>H04L 29/06</t>
  </si>
  <si>
    <t>2012/01/25</t>
  </si>
  <si>
    <t>CN200810060992.1</t>
  </si>
  <si>
    <t>认知无线电系统的跨层自适应并行信道分配方法</t>
  </si>
  <si>
    <t>周  侨|赵民建|陈  杰|田  津|赵  辉|张  迪|杜  维|张  翔|彭  曦|李  磊</t>
  </si>
  <si>
    <t>周  侨</t>
  </si>
  <si>
    <t>2008/04/08</t>
  </si>
  <si>
    <t>2008/09/03</t>
  </si>
  <si>
    <t>23.92</t>
  </si>
  <si>
    <t>12/553,955</t>
  </si>
  <si>
    <t>Spatio-temporal random voting scheme for cognitive networks</t>
  </si>
  <si>
    <t>Kim; Yong Jin|Dondeti; Lakshminath R.|Shellhammer; Stephen J.|Zhang; Wenyi</t>
  </si>
  <si>
    <t>Kim; Yong Jin</t>
  </si>
  <si>
    <t>2008/10/28</t>
  </si>
  <si>
    <t>2009/09/03</t>
  </si>
  <si>
    <t>2013/07/23</t>
  </si>
  <si>
    <t>13/916,297</t>
  </si>
  <si>
    <t>Kim; Yong Jin|Dondeti; Lakshminath Reddy|Shellhammer; Stephen Jay|Zhang; Wenyi</t>
  </si>
  <si>
    <t>2013/06/12</t>
  </si>
  <si>
    <t>2015/02/03</t>
  </si>
  <si>
    <t>CN200980143687.1</t>
  </si>
  <si>
    <t>用于认知网络的时空随机表决方案</t>
  </si>
  <si>
    <t>Y·J·金|L·R·唐达蒂|S·J·谢尔汉姆|W·张</t>
  </si>
  <si>
    <t>Y·J·金</t>
  </si>
  <si>
    <t>2009/10/28</t>
  </si>
  <si>
    <t>2014/03/19</t>
  </si>
  <si>
    <t>H04W 16/00</t>
  </si>
  <si>
    <t>CN200710171232.3</t>
  </si>
  <si>
    <t>AF-DSTC协作通信协议中降低中断概率的功率分配方法</t>
  </si>
  <si>
    <t>郭  佳|王  超|李洪星|罗汉文|佘  峰</t>
  </si>
  <si>
    <t>郭  佳</t>
  </si>
  <si>
    <t>2007/11/29</t>
  </si>
  <si>
    <t>2008/06/25</t>
  </si>
  <si>
    <t>9.89</t>
  </si>
  <si>
    <t>12/900,178</t>
  </si>
  <si>
    <t>Methods and apparatus for using a distributed message bus for ad hoc peer-to-peer connectivity</t>
  </si>
  <si>
    <t>Qualcomm Innovation Center, Inc.</t>
  </si>
  <si>
    <t>Burns; Gregory|Profit; Jack H.</t>
  </si>
  <si>
    <t>Burns; Gregory</t>
  </si>
  <si>
    <t>2009/12/15</t>
  </si>
  <si>
    <t>2010/10/07</t>
  </si>
  <si>
    <t>CN201080057059.4</t>
  </si>
  <si>
    <t>使用分布式消息总线用于特用对等式连接性的方法和设备</t>
  </si>
  <si>
    <t>高通创新中心股份有限公司</t>
  </si>
  <si>
    <t>格雷戈里·伯恩斯|杰克·H·普罗菲</t>
  </si>
  <si>
    <t>格雷戈里·伯恩斯</t>
  </si>
  <si>
    <t>2015/01/21</t>
  </si>
  <si>
    <t>H04L 12/40</t>
  </si>
  <si>
    <t>2012/09/19</t>
  </si>
  <si>
    <t>CN200710172177.X</t>
  </si>
  <si>
    <t>一种可降低闪烁噪声的LC正交压控振荡器</t>
  </si>
  <si>
    <t>李  巍|郑剑钦</t>
  </si>
  <si>
    <t>李  巍</t>
  </si>
  <si>
    <t>2007/12/13</t>
  </si>
  <si>
    <t>H03B</t>
  </si>
  <si>
    <t>H03B  5/12</t>
  </si>
  <si>
    <t>10.34</t>
  </si>
  <si>
    <t>CN201080019966.X</t>
  </si>
  <si>
    <t>振荡器中的闪烁噪声消除方法及设备</t>
  </si>
  <si>
    <t>西尔万·M·科兰|朴俊漾|马尔奇奥·佩德拉里-诺伊</t>
  </si>
  <si>
    <t>西尔万·M·科兰</t>
  </si>
  <si>
    <t>2009/05/07</t>
  </si>
  <si>
    <t>2010/05/07</t>
  </si>
  <si>
    <t>2014/11/05</t>
  </si>
  <si>
    <t>H03B  5/00</t>
  </si>
  <si>
    <t>CN201410184151.7</t>
  </si>
  <si>
    <t>可配置的宽调谐范围振荡器核心</t>
  </si>
  <si>
    <t>拉贾戈帕兰·兰加拉詹|钦玛雅·米什拉</t>
  </si>
  <si>
    <t>拉贾戈帕兰·兰加拉詹</t>
  </si>
  <si>
    <t>2010/06/17</t>
  </si>
  <si>
    <t>2017/04/12</t>
  </si>
  <si>
    <t>振荡器中的闪烁噪声消除</t>
  </si>
  <si>
    <t>西尔万·M·科兰|朴俊漾|马尔奇奥·佩德拉里 -诺伊</t>
  </si>
  <si>
    <t>CN200710168512.9</t>
  </si>
  <si>
    <t>一种Ad Hoc网络最优能量消耗路径选择方法</t>
  </si>
  <si>
    <t>武汉理工大学</t>
  </si>
  <si>
    <t>李腊元|许重球|王  博|赵新伟|冯美来|何昆鹏</t>
  </si>
  <si>
    <t>李腊元</t>
  </si>
  <si>
    <t>2008/05/07</t>
  </si>
  <si>
    <t>2.57</t>
  </si>
  <si>
    <t>13/787,192</t>
  </si>
  <si>
    <t>Systems and methods for resource allocation serving communication requirements and fairness</t>
  </si>
  <si>
    <t>Huang; Xiaolong|Das; Soumya</t>
  </si>
  <si>
    <t>Huang; Xiaolong</t>
  </si>
  <si>
    <t>2009/07/15</t>
  </si>
  <si>
    <t>2015/01/06</t>
  </si>
  <si>
    <t>H04L 12/413</t>
  </si>
  <si>
    <t>CN201080031438.6</t>
  </si>
  <si>
    <t>为多跳网络数据流提供满足通信约束的资源分配的系统和方法</t>
  </si>
  <si>
    <t>S·达斯|K·拉贾马尼|S·S·索利曼</t>
  </si>
  <si>
    <t>S·达斯</t>
  </si>
  <si>
    <t>2010/07/15</t>
  </si>
  <si>
    <t>2015/06/03</t>
  </si>
  <si>
    <t>H04W 40/02</t>
  </si>
  <si>
    <t>CN200710036175.8</t>
  </si>
  <si>
    <t>主动无线传感器网络中间件系统与实现方法</t>
  </si>
  <si>
    <t>湖南大学</t>
  </si>
  <si>
    <t>罗  娟|吕  磊|李仁发|曾凡仔</t>
  </si>
  <si>
    <t>罗  娟</t>
  </si>
  <si>
    <t>2008/04/30</t>
  </si>
  <si>
    <t>H04L 29/08</t>
  </si>
  <si>
    <t>1.94</t>
  </si>
  <si>
    <t>12/555,381</t>
  </si>
  <si>
    <t>Sensor network management</t>
  </si>
  <si>
    <t>Bullard; Gregory T.|Brake; Desiree D.|Pruetting; Christopher J.|Stits; Raymond S.|Ryberg; Jason T.|Thomas; Jason C.|Winchell; Diane M.</t>
  </si>
  <si>
    <t>Bullard; Gregory T.</t>
  </si>
  <si>
    <t>2009/06/15</t>
  </si>
  <si>
    <t>G06F 15/173</t>
  </si>
  <si>
    <t>CN201080026845.8</t>
  </si>
  <si>
    <t>用于传感器网络的中间件的方法</t>
  </si>
  <si>
    <t>格雷戈里·T·布拉德|德西里·D·布雷克|克里斯托弗·J·普鲁厄廷|雷蒙德·S·斯蒂斯|贾森·T·赖伯格|贾森·C·托马斯|戴安娜·M·温切尔</t>
  </si>
  <si>
    <t>格雷戈里·T·布拉德</t>
  </si>
  <si>
    <t>H04L 12/24</t>
  </si>
  <si>
    <t>2012/11/28</t>
  </si>
  <si>
    <t>CN200710176634.2</t>
  </si>
  <si>
    <t>面向战场环境的无线传感网络及其实现方法</t>
  </si>
  <si>
    <t>赵沁平|曹  靖|张兆丰|吴  威|周  忠</t>
  </si>
  <si>
    <t>赵沁平</t>
  </si>
  <si>
    <t>2008/04/16</t>
  </si>
  <si>
    <t>1.46</t>
  </si>
  <si>
    <t>CN201080026848.1</t>
  </si>
  <si>
    <t>用于发射网络中的传感器中的数据的方法</t>
  </si>
  <si>
    <t>2015/10/14</t>
  </si>
  <si>
    <t>2012/05/16</t>
  </si>
  <si>
    <t>CN200710046007.7</t>
  </si>
  <si>
    <t>用于移动通信码分多址系统的多天线闭环功率控制方法</t>
  </si>
  <si>
    <t>武  卓|陈惠民</t>
  </si>
  <si>
    <t>武  卓</t>
  </si>
  <si>
    <t>2007/09/13</t>
  </si>
  <si>
    <t>2008/02/13</t>
  </si>
  <si>
    <t>0.62</t>
  </si>
  <si>
    <t>13/101,966</t>
  </si>
  <si>
    <t>Modulation and coding scheme adjustment for uplink channel power control in advanced telecommunication networks</t>
  </si>
  <si>
    <t>Chen; Wanshi|Luo; Tao|Montojo; Juan|Gaal; Peter</t>
  </si>
  <si>
    <t>Chen; Wanshi</t>
  </si>
  <si>
    <t>2011/05/05</t>
  </si>
  <si>
    <t>H04W 52/00</t>
  </si>
  <si>
    <t>CN201180022952.8</t>
  </si>
  <si>
    <t>高级电信网络中上行链路功率控制模式的调整</t>
  </si>
  <si>
    <t>W·陈|罗涛|J·蒙托霍|P·加尔</t>
  </si>
  <si>
    <t>W·陈</t>
  </si>
  <si>
    <t>2011/05/06</t>
  </si>
  <si>
    <t>H04W 52/42</t>
  </si>
  <si>
    <t>2013/01/16</t>
  </si>
  <si>
    <t>CN200710118310.3</t>
  </si>
  <si>
    <t>一种基于结构化P2P应用服务平台及其实现方法</t>
  </si>
  <si>
    <t>中国科学技术大学|中国科学院声学研究所</t>
  </si>
  <si>
    <t>中国科学院|中国科学院</t>
  </si>
  <si>
    <t>周  健|洪佩琳|周  旭|覃毅芳|范鹏飞</t>
  </si>
  <si>
    <t>周  健</t>
  </si>
  <si>
    <t>2007/07/05</t>
  </si>
  <si>
    <t>2008/02/06</t>
  </si>
  <si>
    <t>H04L 12/46</t>
  </si>
  <si>
    <t>12.14</t>
  </si>
  <si>
    <t>12/851,358</t>
  </si>
  <si>
    <t>Setting up a direct link in a peer to peer wireless network</t>
  </si>
  <si>
    <t>Wentink; Maarten Menzo|Jones, IV; Vincent Knowles</t>
  </si>
  <si>
    <t>Wentink; Maarten Menzo</t>
  </si>
  <si>
    <t>2009/08/10</t>
  </si>
  <si>
    <t>2010/08/05</t>
  </si>
  <si>
    <t>CN201080035520.6</t>
  </si>
  <si>
    <t>在对等无线网络中建立直接链路</t>
  </si>
  <si>
    <t>M·M·文廷克|V·K·琼斯四世</t>
  </si>
  <si>
    <t>M·M·文廷克</t>
  </si>
  <si>
    <t>2010/08/06</t>
  </si>
  <si>
    <t>H04W 76/02</t>
  </si>
  <si>
    <t>CN200610104095.7</t>
  </si>
  <si>
    <t>分布式非协作多点对多点网络、节点及连接建立方法</t>
  </si>
  <si>
    <t>华为技术有限公司|西南交通大学</t>
  </si>
  <si>
    <t>冯军焕|张  燕|范平志|魏岳军</t>
  </si>
  <si>
    <t>冯军焕</t>
  </si>
  <si>
    <t>2006/08/01</t>
  </si>
  <si>
    <t>11.52</t>
  </si>
  <si>
    <t>12/547,395</t>
  </si>
  <si>
    <t>Distributed downlink coordinated multi-point (CoMP) framework</t>
  </si>
  <si>
    <t>Gorokhov; Alexei Y.|Mallik; Siddhartha|Bhushan; Naga|Barbieri; Alan</t>
  </si>
  <si>
    <t>2008/08/28</t>
  </si>
  <si>
    <t>2009/08/25</t>
  </si>
  <si>
    <t>2013/07/30</t>
  </si>
  <si>
    <t>H04W 40/00</t>
  </si>
  <si>
    <t>2.13</t>
  </si>
  <si>
    <t>12/633,692</t>
  </si>
  <si>
    <t>List elimination for distributed downlink coordinated multi-point (CoMP) framework</t>
  </si>
  <si>
    <t>Gorokhov; Alexei Y.|Barbieri; Alan|Mallik; Siddhartha|Borran; Mohammad J.</t>
  </si>
  <si>
    <t>2008/12/10</t>
  </si>
  <si>
    <t>2009/12/08</t>
  </si>
  <si>
    <t>2014/03/18</t>
  </si>
  <si>
    <t>0.47</t>
  </si>
  <si>
    <t>CN200980133247.8</t>
  </si>
  <si>
    <t>分布式下行链路多点协作（CoMP）架构</t>
  </si>
  <si>
    <t>A·Y·戈罗霍夫|S·马利克|N·布尚|A·巴尔别里</t>
  </si>
  <si>
    <t>2009/08/27</t>
  </si>
  <si>
    <t>2014/03/12</t>
  </si>
  <si>
    <t>H04W 16/10</t>
  </si>
  <si>
    <t>CN200710118717.6</t>
  </si>
  <si>
    <t>基于联合网络－信道编码的协同传输方法</t>
  </si>
  <si>
    <t>张  军|王  钢|杜  冰|陈  实</t>
  </si>
  <si>
    <t>张  军</t>
  </si>
  <si>
    <t>2007/12/19</t>
  </si>
  <si>
    <t>28.56</t>
  </si>
  <si>
    <t>12/845,649</t>
  </si>
  <si>
    <t>Systems, apparatus and methods for broadcast channel decoding</t>
  </si>
  <si>
    <t>Luo; Tao|Yoo; Taesang|Seong; Kibeom</t>
  </si>
  <si>
    <t>Luo; Tao</t>
  </si>
  <si>
    <t>2010/07/28</t>
  </si>
  <si>
    <t>CN201080033994.7</t>
  </si>
  <si>
    <t>广播信道解码的方法和装置</t>
  </si>
  <si>
    <t>罗涛|T·余|K·宋</t>
  </si>
  <si>
    <t>罗涛</t>
  </si>
  <si>
    <t>广播信道解码的方法、装置和计算机程序产品</t>
  </si>
  <si>
    <t>CN200710035303.7</t>
  </si>
  <si>
    <t>大规模非结构化P2P网络中的资源搜索方法</t>
  </si>
  <si>
    <t>中国人民解放军国防科学技术大学</t>
  </si>
  <si>
    <t>国防科技大学</t>
  </si>
  <si>
    <t>张一鸣|卢锡城|李东升|刘  锋</t>
  </si>
  <si>
    <t>张一鸣</t>
  </si>
  <si>
    <t>2007/07/09</t>
  </si>
  <si>
    <t>2007/12/12</t>
  </si>
  <si>
    <t>3.83</t>
  </si>
  <si>
    <t>12/835,710</t>
  </si>
  <si>
    <t>Methods and apparatus for efficiently processing multiple keyword queries on a distributed network</t>
  </si>
  <si>
    <t>Swaminathan; Ashwin|Jayaram; Ranjith Subramanian|Narayanan; Vidya</t>
  </si>
  <si>
    <t>Swaminathan; Ashwin</t>
  </si>
  <si>
    <t>2009/07/14</t>
  </si>
  <si>
    <t>2010/07/13</t>
  </si>
  <si>
    <t>2015/03/31</t>
  </si>
  <si>
    <t>CN201080031566.0</t>
  </si>
  <si>
    <t>用于在分布式网络中高效处理多关键字查询的方法和装置</t>
  </si>
  <si>
    <t>A·斯瓦米纳坦|R·S·贾亚拉姆|V·纳拉亚南</t>
  </si>
  <si>
    <t>A·斯瓦米纳坦</t>
  </si>
  <si>
    <t>2010/07/14</t>
  </si>
  <si>
    <t>CN200710096176.1</t>
  </si>
  <si>
    <t>数模转换器及使用其驱动显示设备的方法</t>
  </si>
  <si>
    <t>三星电子株式会社|汉阳大学校产学协力团</t>
  </si>
  <si>
    <t>三星电子株式会社|汉阳大学产学合作基金会</t>
  </si>
  <si>
    <t>金哲民|金一坤|李起昌|崔良和|权五敬</t>
  </si>
  <si>
    <t>金哲民</t>
  </si>
  <si>
    <t>2006/04/18</t>
  </si>
  <si>
    <t>2007/10/24</t>
  </si>
  <si>
    <t>H03M  1/66</t>
  </si>
  <si>
    <t>1.52</t>
  </si>
  <si>
    <t>13/839,763</t>
  </si>
  <si>
    <t>Techniques to reduce harmonic distortions of impedance attenuators for low-power wideband high-resolution DACs</t>
  </si>
  <si>
    <t>Song; Tongyu|Lee; Sang Min|Kong; Derui|Seo; Dongwon</t>
  </si>
  <si>
    <t>Song; Tongyu</t>
  </si>
  <si>
    <t>CN201080043166.1</t>
  </si>
  <si>
    <t>具有内建负载衰减器的宽带数/模转换器</t>
  </si>
  <si>
    <t>徐东元|加内什·萨里帕利|宋童玉|沙欣·梅海丁扎德·塔莱依|孔德瑞</t>
  </si>
  <si>
    <t>徐东元</t>
  </si>
  <si>
    <t>2009/09/30</t>
  </si>
  <si>
    <t>2016/03/16</t>
  </si>
  <si>
    <t>H03M  1/74</t>
  </si>
  <si>
    <t>CN200580037288.9</t>
  </si>
  <si>
    <t>用于具有增强服务质量的无线通信的动态自适应</t>
  </si>
  <si>
    <t>加利福尼亚大学董事会</t>
  </si>
  <si>
    <t>加利福尼亚大学</t>
  </si>
  <si>
    <t>内奥姆·拉莫斯|德巴士·帕尼格拉希|舒伊特·戴伊</t>
  </si>
  <si>
    <t>内奥姆·拉莫斯</t>
  </si>
  <si>
    <t>2004/10/28</t>
  </si>
  <si>
    <t>2005/10/28</t>
  </si>
  <si>
    <t>2007/10/03</t>
  </si>
  <si>
    <t>12/860,746</t>
  </si>
  <si>
    <t>Deterministic backoff channel access</t>
  </si>
  <si>
    <t>Wentink; Maarten Menzo|Raissinia; Alireza</t>
  </si>
  <si>
    <t>2009/08/24</t>
  </si>
  <si>
    <t>CN201080037491.7</t>
  </si>
  <si>
    <t>确定性回退信道接入</t>
  </si>
  <si>
    <t>M·M·文廷克|A·雷西尼亚</t>
  </si>
  <si>
    <t>H04W 74/00</t>
  </si>
  <si>
    <t>2012/07/11</t>
  </si>
  <si>
    <t>CN200710063298.0</t>
  </si>
  <si>
    <t>宽带无线接入网媒体接入控制层服务质量保证方法</t>
  </si>
  <si>
    <t>贺  媛|曾烈光|金德鹏</t>
  </si>
  <si>
    <t>贺  媛</t>
  </si>
  <si>
    <t>2007/01/08</t>
  </si>
  <si>
    <t>2007/09/12</t>
  </si>
  <si>
    <t>10.56</t>
  </si>
  <si>
    <t>12/127,362</t>
  </si>
  <si>
    <t>Methods and apparatus for quality of service-based uplink polling schemes</t>
  </si>
  <si>
    <t>Chin; Tom|Lee; Kuo-Chun</t>
  </si>
  <si>
    <t>Chin; Tom</t>
  </si>
  <si>
    <t>2008/02/01</t>
  </si>
  <si>
    <t>2008/05/27</t>
  </si>
  <si>
    <t>2014/02/25</t>
  </si>
  <si>
    <t>12/137,542</t>
  </si>
  <si>
    <t>Methods and apparatus for intra-user quality of service uplink scheduling</t>
  </si>
  <si>
    <t>Chin; Tom|Lee; Kuo-Chun|Lee; Chun Woo|Park; Jong Ro</t>
  </si>
  <si>
    <t>2008/06/12</t>
  </si>
  <si>
    <t>2014/03/11</t>
  </si>
  <si>
    <t>CN200980103625.8</t>
  </si>
  <si>
    <t>用于用户内服务质量上行链路调度的方法和装置</t>
  </si>
  <si>
    <t>金汤|李国钧|C·W·李|J·R·朴</t>
  </si>
  <si>
    <t>金汤</t>
  </si>
  <si>
    <t>2009/01/30</t>
  </si>
  <si>
    <t>2015/03/25</t>
  </si>
  <si>
    <t>CN200610082958.5</t>
  </si>
  <si>
    <t>嵌入式语音编解码的方法及编解码器</t>
  </si>
  <si>
    <t>鲍长春|李海婷|刘泽新|朱  恒|范  睿|李立雄</t>
  </si>
  <si>
    <t>2006/06/21</t>
  </si>
  <si>
    <t>2007/07/18</t>
  </si>
  <si>
    <t>10.24</t>
  </si>
  <si>
    <t>12/478,460</t>
  </si>
  <si>
    <t>Systems and methods for reconstructing an erased speech frame</t>
  </si>
  <si>
    <t>Fang; Zheng|Sinder; Daniel J.|Kandhadai; Ananthapadmanabhan A.</t>
  </si>
  <si>
    <t>Fang; Zheng</t>
  </si>
  <si>
    <t>G10L 21/02</t>
  </si>
  <si>
    <t>CN201080023265.3</t>
  </si>
  <si>
    <t>用于重建被擦除语音帧的系统与方法</t>
  </si>
  <si>
    <t>方正|丹尼尔·J·辛德尔|阿南塔帕德玛纳班·阿拉桑尼帕莱·坎迪哈代</t>
  </si>
  <si>
    <t>方正</t>
  </si>
  <si>
    <t>2010/06/03</t>
  </si>
  <si>
    <t>2014/05/07</t>
  </si>
  <si>
    <t>G10L 19/005</t>
  </si>
  <si>
    <t>方正|丹尼尔·J·辛德尔|阿南塔帕德玛纳班·阿拉桑尼帕|莱·坎迪哈代</t>
  </si>
  <si>
    <t>2012/05/09</t>
  </si>
  <si>
    <t>CN200610165257.8</t>
  </si>
  <si>
    <t>基于CDMA扩频序列的自适应信道估计装置及其方法</t>
  </si>
  <si>
    <t>北京工业大学</t>
  </si>
  <si>
    <t>张延华|朱  杰|刘志伟</t>
  </si>
  <si>
    <t>张延华</t>
  </si>
  <si>
    <t>2006/12/15</t>
  </si>
  <si>
    <t>12/842,752</t>
  </si>
  <si>
    <t>Adaptive transmissions in coordinated multiple point communications</t>
  </si>
  <si>
    <t>Luo; Tao|Malladi; Durga Prasad|Zhang; Xiaoxia|Wei; Yongbin|Montojo; Juan|Liu; Ke</t>
  </si>
  <si>
    <t>2009/07/29</t>
  </si>
  <si>
    <t>CN201080033599.9</t>
  </si>
  <si>
    <t>协作多点通信中的自适应传输</t>
  </si>
  <si>
    <t>罗涛|D·P·马拉蒂|张晓霞|魏永斌|J·蒙托霍|K·刘</t>
  </si>
  <si>
    <t>2015/08/26</t>
  </si>
  <si>
    <t>CN200610104889.3</t>
  </si>
  <si>
    <t>无线传感器网络路由方法</t>
  </si>
  <si>
    <t>张文涛|江  曼|毛尧辉|李建华|李  哲|伍文杰|杨红红</t>
  </si>
  <si>
    <t>张文涛</t>
  </si>
  <si>
    <t>2006/11/13</t>
  </si>
  <si>
    <t>2007/06/27</t>
  </si>
  <si>
    <t>8.33</t>
  </si>
  <si>
    <t>CN200580008028.9</t>
  </si>
  <si>
    <t>码分多址信号的去相关区分系统</t>
  </si>
  <si>
    <t>国立大学法人筑波大学</t>
  </si>
  <si>
    <t>国立大学法人东京农工大学</t>
  </si>
  <si>
    <t>畔柳功芳|末广直树|大竹孝平|松藤信哉|小沢智|富田光博</t>
  </si>
  <si>
    <t>畔柳功芳</t>
  </si>
  <si>
    <t>2004/03/12</t>
  </si>
  <si>
    <t>2007/03/14</t>
  </si>
  <si>
    <t>H04B  1/707</t>
  </si>
  <si>
    <t>JP</t>
  </si>
  <si>
    <t>1.10</t>
  </si>
  <si>
    <t>12/909,704</t>
  </si>
  <si>
    <t>Multiplexing data and reference information in a wireless communication system</t>
  </si>
  <si>
    <t>Luo; Xiliang|Gaal; Peter|Montojo; Juan</t>
  </si>
  <si>
    <t>Luo; Xiliang</t>
  </si>
  <si>
    <t>2010/10/21</t>
  </si>
  <si>
    <t>2014/08/26</t>
  </si>
  <si>
    <t>CN201080049838.X</t>
  </si>
  <si>
    <t>在无线通信系统中复用数据和参考信息</t>
  </si>
  <si>
    <t>X·罗|P·盖尔|J·蒙托约</t>
  </si>
  <si>
    <t>X·罗</t>
  </si>
  <si>
    <t>2010/10/27</t>
  </si>
  <si>
    <t>CN200380110738.3</t>
  </si>
  <si>
    <t>移动通信系统中的下行链路信号配置方法与设备、以及使用其的同步与小区搜索方法与设备</t>
  </si>
  <si>
    <t>韩国电子通信研究院|中央大学教</t>
  </si>
  <si>
    <t>韩国电子通信研究院|中央大学校</t>
  </si>
  <si>
    <t>金光淳|安载泳|赵镛洙|金东汉</t>
  </si>
  <si>
    <t>金光淳</t>
  </si>
  <si>
    <t>2003/10/24</t>
  </si>
  <si>
    <t>2003/11/19</t>
  </si>
  <si>
    <t>H04B  7/26</t>
  </si>
  <si>
    <t>22.20</t>
  </si>
  <si>
    <t>11/955,062</t>
  </si>
  <si>
    <t>Methods and apparatus for identifying a preamble sequence and for estimating an integer carrier frequency offset</t>
  </si>
  <si>
    <t>Park; Jong Hyeon|Park; Ju Won|Kim; Je Woo</t>
  </si>
  <si>
    <t>Park; Jong Hyeon</t>
  </si>
  <si>
    <t>2013/09/10</t>
  </si>
  <si>
    <t>11/969,330</t>
  </si>
  <si>
    <t>Methods and apparatus for synchronization and detection in wireless communication systems</t>
  </si>
  <si>
    <t>Park; Jong Hyeon|Sim; Bok Tae|Chang; Tae Ryun|Kim; Je Woo|Park; Ju Won|Lee; Chae Kwan|Nanavati; Sameer</t>
  </si>
  <si>
    <t>2008/01/04</t>
  </si>
  <si>
    <t>2013/09/17</t>
  </si>
  <si>
    <t>CN200880124251.3</t>
  </si>
  <si>
    <t>用于无线通信系统中的同步和检测的方法和装置</t>
  </si>
  <si>
    <t>B·T·金|T·R·常|J·W·金|J·H·朴|J·W·朴|C·K·李|S·纳那维蒂</t>
  </si>
  <si>
    <t>B·T·金</t>
  </si>
  <si>
    <t>2008/07/17</t>
  </si>
  <si>
    <t>2013/06/19</t>
  </si>
  <si>
    <t>CN200610020703.6</t>
  </si>
  <si>
    <t>一种认知无线电场景中的链路建立方法</t>
  </si>
  <si>
    <t>韩川|王军|李少谦</t>
  </si>
  <si>
    <t>韩川</t>
  </si>
  <si>
    <t>23.64</t>
  </si>
  <si>
    <t>CN200610065780.3</t>
  </si>
  <si>
    <t>用于码分多址系统反向链路考虑相互干扰的功率控制方法</t>
  </si>
  <si>
    <t>高月红|张欣|杨大成</t>
  </si>
  <si>
    <t>高月红</t>
  </si>
  <si>
    <t>2006/03/16</t>
  </si>
  <si>
    <t>2006/08/16</t>
  </si>
  <si>
    <t>1.2</t>
  </si>
  <si>
    <t>11/858,472</t>
  </si>
  <si>
    <t>Reverse link traffic power control</t>
  </si>
  <si>
    <t>Bhushan; Naga|Borran; Mohammad J.|Gorokhov; Alexei</t>
  </si>
  <si>
    <t>Bhushan; Naga</t>
  </si>
  <si>
    <t>2013/04/02</t>
  </si>
  <si>
    <t>0.74</t>
  </si>
  <si>
    <t>12/963,756</t>
  </si>
  <si>
    <t>Bhushan; Naga|Borran; Jaber M.|Gorokhov; Alexei Y.</t>
  </si>
  <si>
    <t>2010/12/09</t>
  </si>
  <si>
    <t>CN200880107889.6</t>
  </si>
  <si>
    <t>反向链路业务功率控制</t>
  </si>
  <si>
    <t>N·布尚|M·J·博兰|A·戈罗霍夫</t>
  </si>
  <si>
    <t>N·布尚</t>
  </si>
  <si>
    <t>2008/09/19</t>
  </si>
  <si>
    <t>2015/08/12</t>
  </si>
  <si>
    <t>CN200510028458.9</t>
  </si>
  <si>
    <t>一种基于组合导频的高性能OFDM信道估计方法</t>
  </si>
  <si>
    <t>徐斌|张建秋|胡波</t>
  </si>
  <si>
    <t>徐斌</t>
  </si>
  <si>
    <t>2005/08/04</t>
  </si>
  <si>
    <t>2006/02/08</t>
  </si>
  <si>
    <t>2.73</t>
  </si>
  <si>
    <t>CN200510036377.3</t>
  </si>
  <si>
    <t>一种维特比译码器及用于维特比译码器的加比选单元电路</t>
  </si>
  <si>
    <t>北京大学深圳研究生院|华为技术有限公司</t>
  </si>
  <si>
    <t>北京大学|华为技术有限公司</t>
  </si>
  <si>
    <t>王一|王新安|张国新|肖高发|洪波|赵腾飞</t>
  </si>
  <si>
    <t>王一</t>
  </si>
  <si>
    <t>H03M 13/41</t>
  </si>
  <si>
    <t>6.0</t>
  </si>
  <si>
    <t>11/969,724</t>
  </si>
  <si>
    <t>Decoding scheme using A-priori information about transmitted messages</t>
  </si>
  <si>
    <t>Chang; Tae Ryun|Park; Jong Hyeon|Park; Ju Won|Sim; Bok Tae|Lee; Chun Woo|Kim; Je Woo</t>
  </si>
  <si>
    <t>Chang; Tae Ryun</t>
  </si>
  <si>
    <t>2012/09/04</t>
  </si>
  <si>
    <t>H03D  1/00</t>
  </si>
  <si>
    <t>0.72</t>
  </si>
  <si>
    <t>12/176,289</t>
  </si>
  <si>
    <t>Methods and systems for turbo decoding in a wireless communication system</t>
  </si>
  <si>
    <t>Huang; Qiang|Sim; Bok Tae|Park; Jong Hyeon</t>
  </si>
  <si>
    <t>Huang; Qiang</t>
  </si>
  <si>
    <t>2008/07/18</t>
  </si>
  <si>
    <t>H03L 27/06</t>
  </si>
  <si>
    <t>12/142,770</t>
  </si>
  <si>
    <t>Methods and systems for improving frame decoding performance using known information</t>
  </si>
  <si>
    <t>Lee; Chun Woo|Park; Jong Hyeon</t>
  </si>
  <si>
    <t>Lee; Chun Woo</t>
  </si>
  <si>
    <t>2013/03/26</t>
  </si>
  <si>
    <t>CN200380106100.2</t>
  </si>
  <si>
    <t>用于纳米压印的组合物和方法</t>
  </si>
  <si>
    <t>普林斯顿大学</t>
  </si>
  <si>
    <t>普林斯顿大学理事会</t>
  </si>
  <si>
    <t>S·周|陈雷</t>
  </si>
  <si>
    <t>S·周</t>
  </si>
  <si>
    <t>2002/11/12</t>
  </si>
  <si>
    <t>2003/11/12</t>
  </si>
  <si>
    <t>2006/01/25</t>
  </si>
  <si>
    <t>G03F</t>
  </si>
  <si>
    <t>G03F  7/00</t>
  </si>
  <si>
    <t>7.15</t>
  </si>
  <si>
    <t>12/477,412</t>
  </si>
  <si>
    <t>Apparatus and method to fabricate an electronic device</t>
  </si>
  <si>
    <t>Song; Seung-Chul|Han; Beom-Mo|Abu-Rahma; Mohamed Hassan</t>
  </si>
  <si>
    <t>Song; Seung-Chul</t>
  </si>
  <si>
    <t>2009/06/03</t>
  </si>
  <si>
    <t>H01L 21/77</t>
  </si>
  <si>
    <t>CN201080024098.4</t>
  </si>
  <si>
    <t>制造电子装置的设备和方法</t>
  </si>
  <si>
    <t>宋森秋|韩秉莫|穆罕默德·哈桑·阿布-拉赫马</t>
  </si>
  <si>
    <t>宋森秋</t>
  </si>
  <si>
    <t>H01L 29/78</t>
  </si>
  <si>
    <t>宋森秋|韩秉莫|穆罕默德·哈桑·阿布 -拉赫马</t>
  </si>
  <si>
    <t>CN200510089638.8</t>
  </si>
  <si>
    <t>用于蜂窝通信系统的资源分配调度方法</t>
  </si>
  <si>
    <t>三星电子株式会社|得克萨斯系统大学董事会</t>
  </si>
  <si>
    <t>三星电子株式会社|得克萨斯大学体系董事会</t>
  </si>
  <si>
    <t>赵成贤|罗伯特·W·希思|尹相普|朴元亨|马尼施·埃里</t>
  </si>
  <si>
    <t>赵成贤</t>
  </si>
  <si>
    <t>2004/05/31</t>
  </si>
  <si>
    <t>H04Q  7/36</t>
  </si>
  <si>
    <t>11.60</t>
  </si>
  <si>
    <t>CN200780036937.2</t>
  </si>
  <si>
    <t>使划分的资源在OFDM无线通信系统的多个扇区中同步</t>
  </si>
  <si>
    <t>N·布尚|A·戈罗霍夫</t>
  </si>
  <si>
    <t>2006/10/03</t>
  </si>
  <si>
    <t>2007/10/01</t>
  </si>
  <si>
    <t>2014/07/23</t>
  </si>
  <si>
    <t>TW096137183</t>
  </si>
  <si>
    <t>用于无线通信系统之资源分割</t>
  </si>
  <si>
    <t>那加　伯汉|艾力克司　格赫夫</t>
  </si>
  <si>
    <t>那加　伯汉</t>
  </si>
  <si>
    <t>2014/12/11</t>
  </si>
  <si>
    <t>CN201180030693.3</t>
  </si>
  <si>
    <t>异质网络中的自适应资源分割信息(ARPI)转变行为</t>
  </si>
  <si>
    <t>宋瓯寿|马达范·斯里尼瓦桑·瓦亚佩叶|季庭方|亚历山大·达姆尼亚诺维克|艾伦·巴尔别里</t>
  </si>
  <si>
    <t>宋瓯寿</t>
  </si>
  <si>
    <t>2010/06/21</t>
  </si>
  <si>
    <t>2011/06/21</t>
  </si>
  <si>
    <t>CN200510081002.9</t>
  </si>
  <si>
    <t>多载波通信系统中的资源分配方法</t>
  </si>
  <si>
    <t>三星电子株式会社|财团法人索尔大学校产学协力财团</t>
  </si>
  <si>
    <t>三星电子株式会社|财团法人首尔大学校产学协力财团</t>
  </si>
  <si>
    <t>崔荣埈|尹相普|朴元亨|朴世雄|金钟泽</t>
  </si>
  <si>
    <t>崔荣埈</t>
  </si>
  <si>
    <t>2004/06/25</t>
  </si>
  <si>
    <t>2005/06/27</t>
  </si>
  <si>
    <t>2005/12/28</t>
  </si>
  <si>
    <t>12.60</t>
  </si>
  <si>
    <t>CN200780039720.7</t>
  </si>
  <si>
    <t>实现无线通信系统的资源划分</t>
  </si>
  <si>
    <t>N·布尚|季庭方|A·汉德卡尔|A·戈罗霍夫</t>
  </si>
  <si>
    <t>2006/10/24</t>
  </si>
  <si>
    <t>2007/10/23</t>
  </si>
  <si>
    <t>2013/11/06</t>
  </si>
  <si>
    <t>CN201180044128.2</t>
  </si>
  <si>
    <t>多无线电共存</t>
  </si>
  <si>
    <t>T·A·卡道斯|P·达亚尔|A·曼特拉瓦迪</t>
  </si>
  <si>
    <t>T·A·卡道斯</t>
  </si>
  <si>
    <t>2016/05/18</t>
  </si>
  <si>
    <t>H04W 72/12</t>
  </si>
  <si>
    <t>2013/05/15</t>
  </si>
  <si>
    <t>CN200510012129.5</t>
  </si>
  <si>
    <t>基于蜂窝网络定位的无线局域网发现方法</t>
  </si>
  <si>
    <t>江俊锋|曹志刚|樊平毅</t>
  </si>
  <si>
    <t>江俊锋</t>
  </si>
  <si>
    <t>2005/07/08</t>
  </si>
  <si>
    <t>2005/12/21</t>
  </si>
  <si>
    <t>20.83</t>
  </si>
  <si>
    <t>CN200780002332.1</t>
  </si>
  <si>
    <t>用于借助信标信号来传送优先级信息的通信方法和装置</t>
  </si>
  <si>
    <t>R·拉洛亚|F·兰恩|李君易|T·理查德森</t>
  </si>
  <si>
    <t>R·拉洛亚</t>
  </si>
  <si>
    <t>2006/01/11</t>
  </si>
  <si>
    <t>2007/01/10</t>
  </si>
  <si>
    <t>2013/04/17</t>
  </si>
  <si>
    <t>CN200780003012.8</t>
  </si>
  <si>
    <t>2013/05/22</t>
  </si>
  <si>
    <t>CN201080019622.9</t>
  </si>
  <si>
    <t>用于使用运动传感器数据来选择全频带扫描的装置和方法</t>
  </si>
  <si>
    <t>B·M·乌马特</t>
  </si>
  <si>
    <t>2009/05/04</t>
  </si>
  <si>
    <t>2010/05/04</t>
  </si>
  <si>
    <t>2012/04/11</t>
  </si>
  <si>
    <t>H04W 48/16</t>
  </si>
  <si>
    <t>CN200510055289.8</t>
  </si>
  <si>
    <t>图像/视频编码中变换系数的熵编码方法</t>
  </si>
  <si>
    <t>何芸|陈衢清</t>
  </si>
  <si>
    <t>2005/03/18</t>
  </si>
  <si>
    <t>2005/09/07</t>
  </si>
  <si>
    <t>10.28</t>
  </si>
  <si>
    <t>13/536,834</t>
  </si>
  <si>
    <t>Context adaptive entropy coding for non-square blocks in video coding</t>
  </si>
  <si>
    <t>Sole Rojals; Joel|Joshi; Rajan Laxman|Karczewicz; Marta</t>
  </si>
  <si>
    <t>Sole Rojals; Joel</t>
  </si>
  <si>
    <t>2011/07/01</t>
  </si>
  <si>
    <t>2012/06/28</t>
  </si>
  <si>
    <t>CN200880020233.0</t>
  </si>
  <si>
    <t>视频译码中的自适应系数扫描</t>
  </si>
  <si>
    <t>叶琰|马尔塔·卡切维奇</t>
  </si>
  <si>
    <t>叶琰</t>
  </si>
  <si>
    <t>2012/02/29</t>
  </si>
  <si>
    <t>CN201280032600.5</t>
  </si>
  <si>
    <t>在视频译码中用于非正方形块的上下文自适应熵译码</t>
  </si>
  <si>
    <t>霍埃尔·索赖·罗哈斯|拉詹·雷克斯曼·乔希|马尔塔·卡切维奇</t>
  </si>
  <si>
    <t>霍埃尔·索赖·罗哈斯</t>
  </si>
  <si>
    <t>2012/06/29</t>
  </si>
  <si>
    <t>H04N 19/13</t>
  </si>
  <si>
    <t>CN200410081948.0</t>
  </si>
  <si>
    <t>操作时分双工/虚拟频分双工分级蜂窝电信系统的方法</t>
  </si>
  <si>
    <t>三星电子株式会社|爱丁堡大学理事会</t>
  </si>
  <si>
    <t>三星电子株式会社|爱丁堡大学the university court of the university of</t>
  </si>
  <si>
    <t>尹相普|赵成贤|金映秀|金应善|李炼雨|斯蒂芬·马克劳林</t>
  </si>
  <si>
    <t>尹相普</t>
  </si>
  <si>
    <t>2004/02/11</t>
  </si>
  <si>
    <t>2004/12/30</t>
  </si>
  <si>
    <t>2005/08/17</t>
  </si>
  <si>
    <t>H04Q  7/22</t>
  </si>
  <si>
    <t>8.19</t>
  </si>
  <si>
    <t>12/843,467</t>
  </si>
  <si>
    <t>Method and apparatus for managing flexible usage of unpaired frequencies</t>
  </si>
  <si>
    <t>2009/07/27</t>
  </si>
  <si>
    <t>2010/07/26</t>
  </si>
  <si>
    <t>CN201080033115.0</t>
  </si>
  <si>
    <t>用于对不成对的频率的灵活使用进行管理的方法和装置</t>
  </si>
  <si>
    <t>Y·李|L·高</t>
  </si>
  <si>
    <t>Y·李</t>
  </si>
  <si>
    <t>2010/07/27</t>
  </si>
  <si>
    <t>2014/12/10</t>
  </si>
  <si>
    <t>CN200410073329.7</t>
  </si>
  <si>
    <t>移动无线自组织网络的互同步方法</t>
  </si>
  <si>
    <t>孙献璞|张海林</t>
  </si>
  <si>
    <t>孙献璞</t>
  </si>
  <si>
    <t>2004/11/30</t>
  </si>
  <si>
    <t>2005/07/27</t>
  </si>
  <si>
    <t>18.98</t>
  </si>
  <si>
    <t>11/775,193</t>
  </si>
  <si>
    <t>Synchronization of a peer-to-peer communication network</t>
  </si>
  <si>
    <t>Li; Junyi|Laroia; Rajiv|Wu; Xinzhou|Richardson; Thomas</t>
  </si>
  <si>
    <t>Li; Junyi</t>
  </si>
  <si>
    <t>2014/07/15</t>
  </si>
  <si>
    <t>11/775,191</t>
  </si>
  <si>
    <t>Li; Junyi|Wu; Xinzhou|Tavildar; Saurabh|Grokop; Leonard</t>
  </si>
  <si>
    <t>CN200880023995.6</t>
  </si>
  <si>
    <t>对等通信网络的同步</t>
  </si>
  <si>
    <t>厉隽怿|X·吴|S·塔维尔达|L·H·格罗科普</t>
  </si>
  <si>
    <t>厉隽怿</t>
  </si>
  <si>
    <t>2008/07/02</t>
  </si>
  <si>
    <t>2013/08/14</t>
  </si>
  <si>
    <t>H04W 56/00</t>
  </si>
  <si>
    <t>CN200410061443.8</t>
  </si>
  <si>
    <t>带内容监控的网络数字图书安全分发系统和方法</t>
  </si>
  <si>
    <t>华中师范大学</t>
  </si>
  <si>
    <t>庄超</t>
  </si>
  <si>
    <t>2004/12/28</t>
  </si>
  <si>
    <t>2005/06/29</t>
  </si>
  <si>
    <t>H04L  9/10</t>
  </si>
  <si>
    <t>9.60</t>
  </si>
  <si>
    <t>12/430,750</t>
  </si>
  <si>
    <t>Method and apparatus to create a secure web-browsing environment with privilege signing</t>
  </si>
  <si>
    <t>Kelley; Brian H.</t>
  </si>
  <si>
    <t>2009/04/27</t>
  </si>
  <si>
    <t>H04L  9/32</t>
  </si>
  <si>
    <t>CN201080018585.X</t>
  </si>
  <si>
    <t>用特权签字创建安全网页浏览环境的方法和设备</t>
  </si>
  <si>
    <t>布莱恩·哈罗德·凯利</t>
  </si>
  <si>
    <t>2010/04/26</t>
  </si>
  <si>
    <t>G06F 21/51</t>
  </si>
  <si>
    <t>G06F 21/00</t>
  </si>
  <si>
    <t>1.26</t>
  </si>
  <si>
    <t>CN200410048776.7</t>
  </si>
  <si>
    <t>移动IP中移动节点实现无缝切换的方法</t>
  </si>
  <si>
    <t>谭敏|夏寅贲|田霖|李未</t>
  </si>
  <si>
    <t>谭敏</t>
  </si>
  <si>
    <t>2004/06/18</t>
  </si>
  <si>
    <t>17.19</t>
  </si>
  <si>
    <t>11/624,181</t>
  </si>
  <si>
    <t>Configuring a base station to act as a regional mobility agent</t>
  </si>
  <si>
    <t>Tsirtsis; George|Corson; M. Scott|Park; Vince</t>
  </si>
  <si>
    <t>Tsirtsis; George</t>
  </si>
  <si>
    <t>H04M  1/66</t>
  </si>
  <si>
    <t>12/140,847</t>
  </si>
  <si>
    <t>Method and apparatus for PDCP reordering at handoff</t>
  </si>
  <si>
    <t>Meylan; Arnaud</t>
  </si>
  <si>
    <t>2007/06/18</t>
  </si>
  <si>
    <t>2008/06/17</t>
  </si>
  <si>
    <t>0.12</t>
  </si>
  <si>
    <t>11/564,827</t>
  </si>
  <si>
    <t>Data state transition during handoff</t>
  </si>
  <si>
    <t>Horn; Gavin Bernard|Ulupinar; Fatih|Parekh; Nileshkumar J.</t>
  </si>
  <si>
    <t>Horn; Gavin Bernard</t>
  </si>
  <si>
    <t>2005/11/30</t>
  </si>
  <si>
    <t>2006/11/29</t>
  </si>
  <si>
    <t>CN200410005808.5</t>
  </si>
  <si>
    <t>无线网络中快速漫游的方法</t>
  </si>
  <si>
    <t>三星电子株式会社|马里兰大学</t>
  </si>
  <si>
    <t>李仁琁|张景训|申珉昊|威廉·A·阿博|阿鲁内什·米什拉</t>
  </si>
  <si>
    <t>李仁琁</t>
  </si>
  <si>
    <t>2003/01/14</t>
  </si>
  <si>
    <t>2004/01/14</t>
  </si>
  <si>
    <t>8.79</t>
  </si>
  <si>
    <t>11/843,583</t>
  </si>
  <si>
    <t>Systems and methods for key management for wireless communications systems</t>
  </si>
  <si>
    <t>Narayanan; Vidya|Dondeti; Lakshminath Reddy|Agashe; Parag Arun|Bender; Paul E.</t>
  </si>
  <si>
    <t>Narayanan; Vidya</t>
  </si>
  <si>
    <t>2007/08/22</t>
  </si>
  <si>
    <t>CN200780031565.4</t>
  </si>
  <si>
    <t>用于无线通信系统的密钥管理系统和方法</t>
  </si>
  <si>
    <t>V·纳拉亚南|L·R·东代蒂|P·A·阿加什|P·E·本德</t>
  </si>
  <si>
    <t>V·纳拉亚南</t>
  </si>
  <si>
    <t>2007/08/24</t>
  </si>
  <si>
    <t>CN201310474574.8</t>
  </si>
  <si>
    <t>2017/07/28</t>
  </si>
  <si>
    <t>CN200410012857.1</t>
  </si>
  <si>
    <t>视频编码的整数变换矩阵选择方法及相关的整数变换方法</t>
  </si>
  <si>
    <t>朱光喜|田晓华|王曜|刘文予|喻莉</t>
  </si>
  <si>
    <t>朱光喜</t>
  </si>
  <si>
    <t>2004/03/18</t>
  </si>
  <si>
    <t>2005/01/12</t>
  </si>
  <si>
    <t>17.57</t>
  </si>
  <si>
    <t>11/861,804</t>
  </si>
  <si>
    <t>Efficient transformation techniques for video coding</t>
  </si>
  <si>
    <t>Nagaraj; Raghavendra C.|Hsu; De Dzwo|Molloy; Stephen</t>
  </si>
  <si>
    <t>Nagaraj; Raghavendra C.</t>
  </si>
  <si>
    <t>2007/09/26</t>
  </si>
  <si>
    <t>2014/02/18</t>
  </si>
  <si>
    <t>CN200780039044.3</t>
  </si>
  <si>
    <t>用信号通知逆离散余弦变换的最大动态范围</t>
  </si>
  <si>
    <t>尤里·列兹尼克</t>
  </si>
  <si>
    <t>2006/10/23</t>
  </si>
  <si>
    <t>2011/08/31</t>
  </si>
  <si>
    <t>CN200880104691.2</t>
  </si>
  <si>
    <t>用于视频编码的高效变换技术</t>
  </si>
  <si>
    <t>拉戈哈文德拉·C·纳加拉杰|徐迪藻|斯蒂芬·莫洛伊</t>
  </si>
  <si>
    <t>拉戈哈文德拉·C·纳加拉杰</t>
  </si>
  <si>
    <t>2014/09/17</t>
  </si>
  <si>
    <t>H04N 19/60</t>
  </si>
  <si>
    <t>CN02117077.0</t>
  </si>
  <si>
    <t>用于报文转发系统的队列管理方法</t>
  </si>
  <si>
    <t>吴建平|章淼</t>
  </si>
  <si>
    <t>吴建平</t>
  </si>
  <si>
    <t>2002/04/29</t>
  </si>
  <si>
    <t>2002/11/13</t>
  </si>
  <si>
    <t>4.28</t>
  </si>
  <si>
    <t>12/965,698</t>
  </si>
  <si>
    <t>HTTP optimization, multi-homing, mobility and priority</t>
  </si>
  <si>
    <t>Watson; Mark|Vicisano; Lorenzo</t>
  </si>
  <si>
    <t>Watson; Mark</t>
  </si>
  <si>
    <t>2009/12/18</t>
  </si>
  <si>
    <t>2010/12/10</t>
  </si>
  <si>
    <t>CN201080057494.7</t>
  </si>
  <si>
    <t>用于HTTP优化、多归属、移动性和优先级的方法和装置</t>
  </si>
  <si>
    <t>M·沃森|L·维奇萨诺</t>
  </si>
  <si>
    <t>M·沃森</t>
  </si>
  <si>
    <t>2010/12/20</t>
  </si>
  <si>
    <t>2015/10/21</t>
  </si>
  <si>
    <t>H04W 28/02</t>
  </si>
  <si>
    <t>HTTP优化、多归属、移动性和优先级</t>
  </si>
  <si>
    <t>CN01139138.3</t>
  </si>
  <si>
    <t>正交多载波系统发射分集的方法</t>
  </si>
  <si>
    <t>樊凌涛|陈健</t>
  </si>
  <si>
    <t>樊凌涛</t>
  </si>
  <si>
    <t>2001/12/20</t>
  </si>
  <si>
    <t>2002/06/05</t>
  </si>
  <si>
    <t>H04L 27/32</t>
  </si>
  <si>
    <t>2.98</t>
  </si>
  <si>
    <t>CN01110134.2</t>
  </si>
  <si>
    <t>一种采用里德－索洛门码的长突发纠错译码方法</t>
  </si>
  <si>
    <t>殷柳国|陆建华|吴佑寿</t>
  </si>
  <si>
    <t>殷柳国</t>
  </si>
  <si>
    <t>2001/03/30</t>
  </si>
  <si>
    <t>2001/11/14</t>
  </si>
  <si>
    <t>H03M 13/00</t>
  </si>
  <si>
    <t>5.12</t>
  </si>
  <si>
    <t>14/591,473</t>
  </si>
  <si>
    <t>Devices and methods for data recovery of control channels in wireless communications</t>
  </si>
  <si>
    <t>Chen; Chulong|Chincholi; Amith Vikram|Venkatachari; Harish</t>
  </si>
  <si>
    <t>Chen; Chulong</t>
  </si>
  <si>
    <t>2014/08/11</t>
  </si>
  <si>
    <t>2015/01/07</t>
  </si>
  <si>
    <t>2016/06/28</t>
  </si>
  <si>
    <t>H03M 13/17</t>
  </si>
  <si>
    <t>PCT/US2015/04296.8</t>
  </si>
  <si>
    <t>Burst error correction with a crc</t>
  </si>
  <si>
    <t>Chulong CHEN|Amith Vikram Chincholi|Harish Venkatachari</t>
  </si>
  <si>
    <t>Chulong CHEN</t>
  </si>
  <si>
    <t>2015/07/30</t>
  </si>
  <si>
    <t>2016/02/18</t>
  </si>
  <si>
    <t>H03M 13/09</t>
  </si>
  <si>
    <t>CN200910056944.X</t>
  </si>
  <si>
    <t>里德-索罗蒙编码器实现方法</t>
  </si>
  <si>
    <t>高通创锐讯通讯科技(上海)有限公司</t>
  </si>
  <si>
    <t>李东川|王星|胡新宇</t>
  </si>
  <si>
    <t>李东川</t>
  </si>
  <si>
    <t>2009/03/12</t>
  </si>
  <si>
    <t>H03M 13/15</t>
  </si>
  <si>
    <t>CN98813906.5</t>
  </si>
  <si>
    <t>有损失/无损失感兴趣区域图像编码</t>
  </si>
  <si>
    <t>三菱电机株式会社|马里兰州大学</t>
  </si>
  <si>
    <t>三菱株式会社|马里兰州大学</t>
  </si>
  <si>
    <t>E·渥美英二|N·法瓦丁</t>
  </si>
  <si>
    <t>E·渥美英二</t>
  </si>
  <si>
    <t>1998/03/20</t>
  </si>
  <si>
    <t>2001/04/11</t>
  </si>
  <si>
    <t>G06K  9/36</t>
  </si>
  <si>
    <t>4.39</t>
  </si>
  <si>
    <t>11/183,072</t>
  </si>
  <si>
    <t>Region-of-interest processing for video telephony</t>
  </si>
  <si>
    <t>Lee; Yen-Chi|El-Maleh; Khaled Helmi|Tsai; Ming-Chang</t>
  </si>
  <si>
    <t>Lee; Yen-Chi</t>
  </si>
  <si>
    <t>2005/07/15</t>
  </si>
  <si>
    <t>G06K  9/20</t>
  </si>
  <si>
    <t>6.30</t>
  </si>
  <si>
    <t>11/182,432</t>
  </si>
  <si>
    <t>Region-of-interest extraction for video telephony</t>
  </si>
  <si>
    <t>0.16</t>
  </si>
  <si>
    <t>CN200680014872.7</t>
  </si>
  <si>
    <t>用于视频电话的关注区提取</t>
  </si>
  <si>
    <t>李彦辑|哈立德·希勒米·厄勒-马列|蔡明章</t>
  </si>
  <si>
    <t>李彦辑</t>
  </si>
  <si>
    <t>2006/03/08</t>
  </si>
  <si>
    <t>CN201410453792.8</t>
  </si>
  <si>
    <t>一种具有高电源抑制比特性的低压差线性稳压器</t>
  </si>
  <si>
    <t>明鑫|董渊|赵倬毅|柯普仁|王卓|张波|周泽坤</t>
  </si>
  <si>
    <t>明鑫</t>
  </si>
  <si>
    <t>2014/09/05</t>
  </si>
  <si>
    <t>G05F</t>
  </si>
  <si>
    <t>G05F  3/28</t>
  </si>
  <si>
    <t>15/009,600</t>
  </si>
  <si>
    <t>Low dropout voltage regulator with improved power supply rejection</t>
  </si>
  <si>
    <t>Rasmus; Todd Morgan</t>
  </si>
  <si>
    <t>2016/01/28</t>
  </si>
  <si>
    <t>H02M</t>
  </si>
  <si>
    <t>H02M  3/156</t>
  </si>
  <si>
    <t>PCT/US2016/06843.6</t>
  </si>
  <si>
    <t>Todd Morgan Rasmus</t>
  </si>
  <si>
    <t>2016/12/22</t>
  </si>
  <si>
    <t>2017/08/03</t>
  </si>
  <si>
    <t>G05F  1/575</t>
  </si>
  <si>
    <t>CN201310551668.0</t>
  </si>
  <si>
    <t>一种长期演进（LTE）和可见光通信（VLC）的互联系统和切换方法</t>
  </si>
  <si>
    <t>黄治同|张馨跃|纪越峰</t>
  </si>
  <si>
    <t>黄治同</t>
  </si>
  <si>
    <t>2013/11/08</t>
  </si>
  <si>
    <t>1.13</t>
  </si>
  <si>
    <t>PCT/CN2014/09402.9</t>
  </si>
  <si>
    <t>Handover using dual active connections</t>
  </si>
  <si>
    <t>Gavin Bernard Horn|Xipeng Zhu</t>
  </si>
  <si>
    <t>Gavin Bernard Horn</t>
  </si>
  <si>
    <t>2016/06/23</t>
  </si>
  <si>
    <t>H04W 36/14</t>
  </si>
  <si>
    <t>PCT/CN2015/09090.6</t>
  </si>
  <si>
    <t>2015/09/28</t>
  </si>
  <si>
    <t>CN201410050675.7</t>
  </si>
  <si>
    <t>一种主动结构光的双目深度感知方法</t>
  </si>
  <si>
    <t>西安交通大学</t>
  </si>
  <si>
    <t>葛晨阳|郑南宁|姚慧敏|周艳辉|伦建坤</t>
  </si>
  <si>
    <t>葛晨阳</t>
  </si>
  <si>
    <t>2014/02/13</t>
  </si>
  <si>
    <t>1.83</t>
  </si>
  <si>
    <t>14/827,088</t>
  </si>
  <si>
    <t>Memory-efficient coded light error correction</t>
  </si>
  <si>
    <t>Campbell; Shandon|Verrall; Stephen Michael|Atanassov; Kalin Mitkov|Miclea; Ovidiu Cristian</t>
  </si>
  <si>
    <t>Campbell; Shandon</t>
  </si>
  <si>
    <t>2015/08/14</t>
  </si>
  <si>
    <t>PCT/US2016/01914.7</t>
  </si>
  <si>
    <t>Active sensing spatial resolution improvement through multiple receivers and code reuse</t>
  </si>
  <si>
    <t>Kalin Mitkov ATANASSOV|Sergiu Radu GOMA</t>
  </si>
  <si>
    <t>Kalin Mitkov ATANASSOV</t>
  </si>
  <si>
    <t>2016/02/23</t>
  </si>
  <si>
    <t>2016/09/15</t>
  </si>
  <si>
    <t>G06T  7/00</t>
  </si>
  <si>
    <t>CN201310362594.6</t>
  </si>
  <si>
    <t>一种基于分段驱动的电流采样电路</t>
  </si>
  <si>
    <t>罗萍|陈剑洛|耿煜|崔嘉杰|周才强|白春蕾|王东俊</t>
  </si>
  <si>
    <t>罗萍</t>
  </si>
  <si>
    <t>2013/08/20</t>
  </si>
  <si>
    <t>2013/12/04</t>
  </si>
  <si>
    <t>G01R 19/25</t>
  </si>
  <si>
    <t>14/793,147</t>
  </si>
  <si>
    <t>Charge shedding circuit</t>
  </si>
  <si>
    <t>Pullen; Stuart|Rader; William</t>
  </si>
  <si>
    <t>Pullen; Stuart</t>
  </si>
  <si>
    <t>2015/03/20</t>
  </si>
  <si>
    <t>H02M  1/088</t>
  </si>
  <si>
    <t>PCT/US2016/02173.1</t>
  </si>
  <si>
    <t>Buck converter with segmented transistors and load dependent scaling</t>
  </si>
  <si>
    <t>Stuart Pullen|William Rader</t>
  </si>
  <si>
    <t>Stuart Pullen</t>
  </si>
  <si>
    <t>2016/03/10</t>
  </si>
  <si>
    <t>2016/09/29</t>
  </si>
  <si>
    <t>CN201310099999.5</t>
  </si>
  <si>
    <t>一种基于多级感兴趣区域的多视点视频编码方法</t>
  </si>
  <si>
    <t>天津大学</t>
  </si>
  <si>
    <t>雷建军|吴媺民|侯春萍|冯坤|胡春悦|李帅</t>
  </si>
  <si>
    <t>雷建军</t>
  </si>
  <si>
    <t>2013/06/26</t>
  </si>
  <si>
    <t>0.44</t>
  </si>
  <si>
    <t>14/575,945</t>
  </si>
  <si>
    <t>Selection and tracking of objects for display partitioning and clustering of video frames</t>
  </si>
  <si>
    <t>Gao; Dashan|Zhong; Xin|Kandhadai; Ananthapadmanabhan Arasanipalai|Beith; Scott|Laver; Steven Douglas</t>
  </si>
  <si>
    <t>Gao; Dashan</t>
  </si>
  <si>
    <t>2013/12/20</t>
  </si>
  <si>
    <t>2017/03/07</t>
  </si>
  <si>
    <t>G11B 27/00</t>
  </si>
  <si>
    <t>14/575,986</t>
  </si>
  <si>
    <t>Systems, methods, and apparatus for encoding object formations</t>
  </si>
  <si>
    <t>Gao; Dashan|Zhong; Xin|Kandhadai; Ananthapadmanabhan Arasanipalai|Laver; Steven Douglas</t>
  </si>
  <si>
    <t>CN201210493798.9</t>
  </si>
  <si>
    <t>基于扫描方式的寄存器复位方法及装置</t>
  </si>
  <si>
    <t>孙彩霞|王永文|张承义|高军|倪晓强|窦强|隋兵才|陈微|赵天磊|王蕾|黄立波</t>
  </si>
  <si>
    <t>孙彩霞</t>
  </si>
  <si>
    <t>2013/04/03</t>
  </si>
  <si>
    <t>H03K 17/22</t>
  </si>
  <si>
    <t>0.30</t>
  </si>
  <si>
    <t>14/251,297</t>
  </si>
  <si>
    <t>Reset scheme for scan chains with asynchronous reset signals</t>
  </si>
  <si>
    <t>Pal; Dipti Ranjan|Penzes; Paul Ivan|Siu; Wai Kit</t>
  </si>
  <si>
    <t>Pal; Dipti Ranjan</t>
  </si>
  <si>
    <t>2014/04/11</t>
  </si>
  <si>
    <t>G01R 31/28</t>
  </si>
  <si>
    <t>PCT/US2015/02003.6</t>
  </si>
  <si>
    <t>Dipti Ranjan PAL|Paul Ivan Penzes|Wai Kit SIU</t>
  </si>
  <si>
    <t>Dipti Ranjan PAL</t>
  </si>
  <si>
    <t>2015/03/11</t>
  </si>
  <si>
    <t>2015/10/15</t>
  </si>
  <si>
    <t>G01R 31/3185</t>
  </si>
  <si>
    <t>CN201210493316.X</t>
  </si>
  <si>
    <t>基于扫描链的芯片内部寄存器复位方法及复位控制装置</t>
  </si>
  <si>
    <t>邓宇|龚锐|郭御风|张明|任巨|石伟|马爱永|罗莉|窦强|王永文</t>
  </si>
  <si>
    <t>邓宇</t>
  </si>
  <si>
    <t>CN201210333269.2</t>
  </si>
  <si>
    <t>高保真D类音频放大器</t>
  </si>
  <si>
    <t>明鑫|张晓敏|段茂平|谢海武|王卓|周泽坤|张波</t>
  </si>
  <si>
    <t>2012/12/19</t>
  </si>
  <si>
    <t>H03F  1/32</t>
  </si>
  <si>
    <t>14/798,647</t>
  </si>
  <si>
    <t>Differential class-D amplifier</t>
  </si>
  <si>
    <t>Galal; Sherif</t>
  </si>
  <si>
    <t>H03F  3/38</t>
  </si>
  <si>
    <t>PCT/US2016/03990.4</t>
  </si>
  <si>
    <t>Differential class-d amplifier</t>
  </si>
  <si>
    <t>Sherif Galal</t>
  </si>
  <si>
    <t>2017/01/19</t>
  </si>
  <si>
    <t>CN201210265372.8</t>
  </si>
  <si>
    <t>一种微软体感装置深度图像增强方法</t>
  </si>
  <si>
    <t>李树涛|陈理|卢婷</t>
  </si>
  <si>
    <t>李树涛</t>
  </si>
  <si>
    <t>G06T  5/00</t>
  </si>
  <si>
    <t>3.25</t>
  </si>
  <si>
    <t>14/664,061</t>
  </si>
  <si>
    <t>Systems and methods for enhanced depth map retrieval for moving objects using active sensing technology</t>
  </si>
  <si>
    <t>Siddiqui; Hasib Ahmed|Atanassov; Kalin Mitkov|Nash; James Wilson</t>
  </si>
  <si>
    <t>Siddiqui; Hasib Ahmed</t>
  </si>
  <si>
    <t>2016/12/27</t>
  </si>
  <si>
    <t>CN201210249599.3</t>
  </si>
  <si>
    <t>一种基于TGMS结构的D触发器</t>
  </si>
  <si>
    <t>金威|鲁晟|何卫锋|毛志刚</t>
  </si>
  <si>
    <t>金威</t>
  </si>
  <si>
    <t>2012/07/18</t>
  </si>
  <si>
    <t>2012/10/17</t>
  </si>
  <si>
    <t>H03K  3/011</t>
  </si>
  <si>
    <t>14/783,761</t>
  </si>
  <si>
    <t>Flip-flop for reducing dynamic power</t>
  </si>
  <si>
    <t>Cai; Yanfei|Dai; Qiang|Huang; Shuangqu</t>
  </si>
  <si>
    <t>Cai; Yanfei</t>
  </si>
  <si>
    <t>2013/05/08</t>
  </si>
  <si>
    <t>H03K  3/037</t>
  </si>
  <si>
    <t>PCT/CN2013/07530.9</t>
  </si>
  <si>
    <t>Yanfei CAI|Qiang Dai|Shuangqu HUANG</t>
  </si>
  <si>
    <t>Yanfei CAI</t>
  </si>
  <si>
    <t>2014/11/13</t>
  </si>
  <si>
    <t>H03K  3/356</t>
  </si>
  <si>
    <t>CN201210132913.X</t>
  </si>
  <si>
    <t>一种视频中的感兴趣区域跟踪方法及装置</t>
  </si>
  <si>
    <t>刘震|张冬|李厚强</t>
  </si>
  <si>
    <t>刘震</t>
  </si>
  <si>
    <t>2012/04/28</t>
  </si>
  <si>
    <t>1.53</t>
  </si>
  <si>
    <t>14/707,929</t>
  </si>
  <si>
    <t>Systems and methods for reducing a plurality of bounding regions</t>
  </si>
  <si>
    <t>Mannino; Matteo Toti|Zhong; Xin|Gao; Dashan|Dane; Gokce</t>
  </si>
  <si>
    <t>Mannino; Matteo Toti</t>
  </si>
  <si>
    <t>2015/05/08</t>
  </si>
  <si>
    <t>PCT/CN2014/08538.1</t>
  </si>
  <si>
    <t>Object selection based on region of interest fusion</t>
  </si>
  <si>
    <t>Xin Zhong|Dashan Gao|Yu Sun|Yingyong Qi|Baozhong Zheng|RUIZ Marc BOSCH|Nagendra KAMATH</t>
  </si>
  <si>
    <t>Xin Zhong</t>
  </si>
  <si>
    <t>2014/08/28</t>
  </si>
  <si>
    <t>2016/03/03</t>
  </si>
  <si>
    <t>G06K  9/34</t>
  </si>
  <si>
    <t>1.15</t>
  </si>
  <si>
    <t>CN201210094711.0</t>
  </si>
  <si>
    <t>直通蜂窝系统中基站联合直通终端优化资源分配方法</t>
  </si>
  <si>
    <t>南京邮电大学</t>
  </si>
  <si>
    <t>孙君|朱洪波|邵世祥</t>
  </si>
  <si>
    <t>孙君</t>
  </si>
  <si>
    <t>2012/03/31</t>
  </si>
  <si>
    <t>43.67</t>
  </si>
  <si>
    <t>13/767,757</t>
  </si>
  <si>
    <t>Joint scheduling of device-to-device (D2D) links and wide area network (WAN) uplink (UL) user equipments (UEs)</t>
  </si>
  <si>
    <t>Tavildar; Saurabha Rangrao|Li; Junyi|Sadiq; Bilal|He; Qing</t>
  </si>
  <si>
    <t>Tavildar; Saurabha Rangrao</t>
  </si>
  <si>
    <t>PCT/US2014/01506.1</t>
  </si>
  <si>
    <t>Joint scheduling of device-to-device (d2d) links and wide area network (wan) uplink (ul) user equipments (ues)</t>
  </si>
  <si>
    <t>Saurabha Rangrao Tavildar|Junyi Li|Bilal SADIQ|Qing He</t>
  </si>
  <si>
    <t>Saurabha Rangrao Tavildar</t>
  </si>
  <si>
    <t>2014/08/21</t>
  </si>
  <si>
    <t>0.43</t>
  </si>
  <si>
    <t>CN201210018168.6</t>
  </si>
  <si>
    <t>Flash灵敏放大器</t>
  </si>
  <si>
    <t>王源|黄鹏|杜刚|贾嵩|康晋锋|张兴</t>
  </si>
  <si>
    <t>王源</t>
  </si>
  <si>
    <t>2012/01/19</t>
  </si>
  <si>
    <t>G11C</t>
  </si>
  <si>
    <t>G11C  7/06</t>
  </si>
  <si>
    <t>14/015,845</t>
  </si>
  <si>
    <t>Offset canceling dual stage sensing circuit</t>
  </si>
  <si>
    <t>QUALCOMM INCORPORATED|INDUSTRY-ACADEMIC COOPERATION FOUNDATION</t>
  </si>
  <si>
    <t>qualcomm|kyungpook national university academic cooperation foundation</t>
  </si>
  <si>
    <t>Jung; Seong-Ook|Na; Taehui|Kim; Jisu|Kim; Jung Pill|Kang; Seung Hyuk</t>
  </si>
  <si>
    <t>Jung; Seong-Ook</t>
  </si>
  <si>
    <t>G11C 11/00</t>
  </si>
  <si>
    <t>PCT/US2014/04604.8</t>
  </si>
  <si>
    <t>Qualcomm Incorporated|Industry-Academic Cooperation Foundation</t>
  </si>
  <si>
    <t>Seong-Ook Jung|Taehui Na|Jisu Kim|Jung Pill Kim|Seung Hyuk KANG</t>
  </si>
  <si>
    <t>Seong-Ook Jung</t>
  </si>
  <si>
    <t>2014/07/09</t>
  </si>
  <si>
    <t>2015/03/05</t>
  </si>
  <si>
    <t>H03K  3/37</t>
  </si>
  <si>
    <t>CN201110388659.5</t>
  </si>
  <si>
    <t>扫描链异步复位寄存器复位端口处理方法</t>
  </si>
  <si>
    <t>福州大学</t>
  </si>
  <si>
    <t>陈传东|何明华</t>
  </si>
  <si>
    <t>陈传东</t>
  </si>
  <si>
    <t>2011/11/30</t>
  </si>
  <si>
    <t>2012/06/13</t>
  </si>
  <si>
    <t>G01R 31/3183</t>
  </si>
  <si>
    <t>CN201110322678.8</t>
  </si>
  <si>
    <t>抗单粒子翻转的可置位D触发器</t>
  </si>
  <si>
    <t>梁斌|李鹏|池雅庆|刘必慰|刘真|李振涛|陈建军|何益百|杜延康</t>
  </si>
  <si>
    <t>梁斌</t>
  </si>
  <si>
    <t>2011/10/21</t>
  </si>
  <si>
    <t>2012/03/28</t>
  </si>
  <si>
    <t>H03K  3/013</t>
  </si>
  <si>
    <t>1.74</t>
  </si>
  <si>
    <t>CN201110247956.8</t>
  </si>
  <si>
    <t>长期演进时分系统中避免交叉时隙干扰的资源分配方法</t>
  </si>
  <si>
    <t>陈立全|王玲玲</t>
  </si>
  <si>
    <t>陈立全</t>
  </si>
  <si>
    <t>0.88</t>
  </si>
  <si>
    <t>14/429,766</t>
  </si>
  <si>
    <t>Enhanced uplink and downlink power control for LTE TDD eIMTA</t>
  </si>
  <si>
    <t>Feng; Minghai|Guo; Jiming|Wang; Neng|Hou; Jilei|Xu; Hao|Gaal; Peter</t>
  </si>
  <si>
    <t>Feng; Minghai</t>
  </si>
  <si>
    <t>2012/10/08</t>
  </si>
  <si>
    <t>2017/10/17</t>
  </si>
  <si>
    <t>H04L  5/14</t>
  </si>
  <si>
    <t>PCT/CN2012/08257.7</t>
  </si>
  <si>
    <t>Enhanced uplink and downlink power control for lte tdd eimta</t>
  </si>
  <si>
    <t>Minghai Feng|Jiming Guo|Neng Wang|Jilei Hou|Hao Xu|Peter Gaal</t>
  </si>
  <si>
    <t>Minghai Feng</t>
  </si>
  <si>
    <t>2014/04/17</t>
  </si>
  <si>
    <t>H04W 52/04</t>
  </si>
  <si>
    <t>1.20</t>
  </si>
  <si>
    <t>CN201110230698.2</t>
  </si>
  <si>
    <t>一种视频序列中自动提取手势候选区域的方法及系统</t>
  </si>
  <si>
    <t>王维东|赵亚飞</t>
  </si>
  <si>
    <t>王维东</t>
  </si>
  <si>
    <t>2011/08/12</t>
  </si>
  <si>
    <t>2012/01/18</t>
  </si>
  <si>
    <t>11.1</t>
  </si>
  <si>
    <t>13/796,599</t>
  </si>
  <si>
    <t>Unsupervised movement detection and gesture recognition</t>
  </si>
  <si>
    <t>Shamaie; Atid</t>
  </si>
  <si>
    <t>2012/07/09</t>
  </si>
  <si>
    <t>2017/07/04</t>
  </si>
  <si>
    <t>PCT/US2013/04844.6</t>
  </si>
  <si>
    <t>Computer - implemented method and system for recognizing gestures</t>
  </si>
  <si>
    <t>Atid Shamaie</t>
  </si>
  <si>
    <t>2013/06/28</t>
  </si>
  <si>
    <t>2014/01/16</t>
  </si>
  <si>
    <t>CN201110181066.1</t>
  </si>
  <si>
    <t>一种低功耗的动态心电监护仪及其控制方法</t>
  </si>
  <si>
    <t>东北大学</t>
  </si>
  <si>
    <t>王明全|佘黎煌|张石|王子敬|代继成|解加华</t>
  </si>
  <si>
    <t>王明全</t>
  </si>
  <si>
    <t>2011/12/14</t>
  </si>
  <si>
    <t>A61B</t>
  </si>
  <si>
    <t>A61B  5/0402</t>
  </si>
  <si>
    <t>13/797,889</t>
  </si>
  <si>
    <t>Systems and methods for ECG monitoring</t>
  </si>
  <si>
    <t>Marziliano; Pina|Nair; Amrish</t>
  </si>
  <si>
    <t>Marziliano; Pina</t>
  </si>
  <si>
    <t>2016/06/14</t>
  </si>
  <si>
    <t>A61B  5/0452</t>
  </si>
  <si>
    <t>CN201380015976.X</t>
  </si>
  <si>
    <t>用于ECG监视的系统和方法</t>
  </si>
  <si>
    <t>皮纳·马尔齐利亚诺|阿姆里什·奈尔</t>
  </si>
  <si>
    <t>皮纳·马尔齐利亚诺</t>
  </si>
  <si>
    <t>A61B  5/00</t>
  </si>
  <si>
    <t>CN201110141693.2</t>
  </si>
  <si>
    <t>图像运动估计的方法及系统</t>
  </si>
  <si>
    <t>香港科技大学</t>
  </si>
  <si>
    <t>区子廉|闻兴|须江</t>
  </si>
  <si>
    <t>区子廉</t>
  </si>
  <si>
    <t>3.22</t>
  </si>
  <si>
    <t>13/746,148</t>
  </si>
  <si>
    <t>Implicit derivation of parallel motion estimation range size</t>
  </si>
  <si>
    <t>Seregin; Vadim|Wang; Xianglin|Chen; Jianle|Karczewicz; Marta</t>
  </si>
  <si>
    <t>Seregin; Vadim</t>
  </si>
  <si>
    <t>2012/01/31</t>
  </si>
  <si>
    <t>2013/01/21</t>
  </si>
  <si>
    <t>2017/06/06</t>
  </si>
  <si>
    <t>CN201380007069.0</t>
  </si>
  <si>
    <t>并行运动估计范围大小的隐含推导</t>
  </si>
  <si>
    <t>瓦迪姆·谢廖金|翔林·王|陈建乐|马尔塔·卡切维奇</t>
  </si>
  <si>
    <t>瓦迪姆·谢廖金</t>
  </si>
  <si>
    <t>2017/10/03</t>
  </si>
  <si>
    <t>CN201010555246.7</t>
  </si>
  <si>
    <t>用于上下文算术编解码的运算单元</t>
  </si>
  <si>
    <t>严晓浪|朱朋|黄凯|葛海通</t>
  </si>
  <si>
    <t>严晓浪</t>
  </si>
  <si>
    <t>2010/11/23</t>
  </si>
  <si>
    <t>2011/11/02</t>
  </si>
  <si>
    <t>4.96</t>
  </si>
  <si>
    <t>13/645,308</t>
  </si>
  <si>
    <t>Context reduction for context adaptive binary arithmetic coding</t>
  </si>
  <si>
    <t>Chien; Wei-Jung|Sole Rojals; Joel|Karczewicz; Marta</t>
  </si>
  <si>
    <t>Chien; Wei-Jung</t>
  </si>
  <si>
    <t>2012/10/04</t>
  </si>
  <si>
    <t>CN201280054988.9</t>
  </si>
  <si>
    <t>用于对视频数据进行编码和解码的方法和设备</t>
  </si>
  <si>
    <t>钱威俊|霍埃尔·索赖·罗哈斯|马尔塔·卡切维奇</t>
  </si>
  <si>
    <t>钱威俊</t>
  </si>
  <si>
    <t>2012/10/05</t>
  </si>
  <si>
    <t>H03M  7/40</t>
  </si>
  <si>
    <t>CN201110140471.9</t>
  </si>
  <si>
    <t>基于线性模型的深度图帧内预测方法</t>
  </si>
  <si>
    <t>山东大学</t>
  </si>
  <si>
    <t>元辉|刘琚|孙建德</t>
  </si>
  <si>
    <t>元辉</t>
  </si>
  <si>
    <t>2011/10/05</t>
  </si>
  <si>
    <t>3.55</t>
  </si>
  <si>
    <t>PCT/CN2012/00094.2</t>
  </si>
  <si>
    <t>Intra-coding of depth maps for 3d video coding</t>
  </si>
  <si>
    <t>Xin Zhao|Ying Chen|Li Zhang|Marta Karczewicz</t>
  </si>
  <si>
    <t>Xin Zhao</t>
  </si>
  <si>
    <t>2012/07/02</t>
  </si>
  <si>
    <t>2014/01/09</t>
  </si>
  <si>
    <t>6.84</t>
  </si>
  <si>
    <t>PCT/CN2014/08751.1</t>
  </si>
  <si>
    <t>Residual coding for depth intra prediction modes</t>
  </si>
  <si>
    <t>Hongbin Liu|Ying Chen|Li Zhang|Xin Zhao</t>
  </si>
  <si>
    <t>Hongbin Liu</t>
  </si>
  <si>
    <t>2013/09/27</t>
  </si>
  <si>
    <t>2014/09/26</t>
  </si>
  <si>
    <t>H04N 13/00</t>
  </si>
  <si>
    <t>CN201010547404.4</t>
  </si>
  <si>
    <t>一种家庭用电管理智能仪表</t>
  </si>
  <si>
    <t>金尚忠|朱周洪|王焱华</t>
  </si>
  <si>
    <t>金尚忠</t>
  </si>
  <si>
    <t>2010/11/15</t>
  </si>
  <si>
    <t>2011/08/10</t>
  </si>
  <si>
    <t>H02J 13/00</t>
  </si>
  <si>
    <t>0.86</t>
  </si>
  <si>
    <t>CN201280044248.7</t>
  </si>
  <si>
    <t>用于管理异构多核处理器中的热能产生的系统和方法</t>
  </si>
  <si>
    <t>乔恩·J·安德森|素密·苏尔|杰弗里·A·尼曼|詹姆斯·M·阿尔特迈耶</t>
  </si>
  <si>
    <t>乔恩·J·安德森</t>
  </si>
  <si>
    <t>2012/09/06</t>
  </si>
  <si>
    <t>CN201110044728.0</t>
  </si>
  <si>
    <t>流量自适应无线传感器网络MAC协议</t>
  </si>
  <si>
    <t>陈曙|宁金龙</t>
  </si>
  <si>
    <t>陈曙</t>
  </si>
  <si>
    <t>2011/02/24</t>
  </si>
  <si>
    <t>2011/07/13</t>
  </si>
  <si>
    <t>1.66</t>
  </si>
  <si>
    <t>14/429,346</t>
  </si>
  <si>
    <t>Device registration and sounding in a time-division multiple access network</t>
  </si>
  <si>
    <t>Wu; Haipeng|Tse; Patrick|Liang; Xin|Sun; Lihong</t>
  </si>
  <si>
    <t>Wu; Haipeng</t>
  </si>
  <si>
    <t>2012/10/29</t>
  </si>
  <si>
    <t>2016/09/27</t>
  </si>
  <si>
    <t>H04J  3/16</t>
  </si>
  <si>
    <t>PCT/CN2012/08367.5</t>
  </si>
  <si>
    <t>Haipeng WU|Patrick K.M. TSE|Xin Liang|Lihong Sun</t>
  </si>
  <si>
    <t>Haipeng WU</t>
  </si>
  <si>
    <t>2014/05/08</t>
  </si>
  <si>
    <t>H04W 74/08</t>
  </si>
  <si>
    <t>CN201010290107.6</t>
  </si>
  <si>
    <t>一种基于QoS的Ad Hoc网络自适应节点速度多路径路由方法</t>
  </si>
  <si>
    <t>重庆邮电大学</t>
  </si>
  <si>
    <t>万晓榆|樊自甫|严常青|张洪</t>
  </si>
  <si>
    <t>万晓榆</t>
  </si>
  <si>
    <t>2010/09/25</t>
  </si>
  <si>
    <t>H04W 28/14</t>
  </si>
  <si>
    <t>13/827,338</t>
  </si>
  <si>
    <t>Distributed path update in hybrid networks</t>
  </si>
  <si>
    <t>Xue; Qi</t>
  </si>
  <si>
    <t>14/089,086</t>
  </si>
  <si>
    <t>Distributed path selection in hybrid networks</t>
  </si>
  <si>
    <t>Xue; Qi|Tinnakornsrisuphap; Peerapol</t>
  </si>
  <si>
    <t>2013/11/25</t>
  </si>
  <si>
    <t>CN201010535238.6</t>
  </si>
  <si>
    <t>一种基于加速度传感器的运动控制与动画生成方法</t>
  </si>
  <si>
    <t>梁晓辉|刘宇波|何志莹|岑丽霞|刘杰</t>
  </si>
  <si>
    <t>梁晓辉</t>
  </si>
  <si>
    <t>2010/11/03</t>
  </si>
  <si>
    <t>2011/02/16</t>
  </si>
  <si>
    <t>G06T 13/00</t>
  </si>
  <si>
    <t>0.33</t>
  </si>
  <si>
    <t>13/738,514</t>
  </si>
  <si>
    <t>Stereoscopic conversion with viewing orientation for shader based graphics content</t>
  </si>
  <si>
    <t>Bi; Ning|Zhang; Xuerui</t>
  </si>
  <si>
    <t>Bi; Ning</t>
  </si>
  <si>
    <t>2013/01/10</t>
  </si>
  <si>
    <t>2017/01/03</t>
  </si>
  <si>
    <t>G06T 15/80</t>
  </si>
  <si>
    <t>CN201380069877.X</t>
  </si>
  <si>
    <t>基于着色器的图形内容的观看定向的立体转换</t>
  </si>
  <si>
    <t>毕宁|张雪瑞</t>
  </si>
  <si>
    <t>毕宁</t>
  </si>
  <si>
    <t>2013/12/10</t>
  </si>
  <si>
    <t>2017/09/08</t>
  </si>
  <si>
    <t>CN201010281878.9</t>
  </si>
  <si>
    <t>一种CMOS超宽带二分频器结构</t>
  </si>
  <si>
    <t>梅年松|洪志良</t>
  </si>
  <si>
    <t>梅年松</t>
  </si>
  <si>
    <t>2010/09/15</t>
  </si>
  <si>
    <t>H03L  7/18</t>
  </si>
  <si>
    <t>4.50</t>
  </si>
  <si>
    <t>13/070,252</t>
  </si>
  <si>
    <t>Frequency divider circuit</t>
  </si>
  <si>
    <t>Taghivand; Mazhareddin|Savoj; Jafar|Chen; Mingdeng</t>
  </si>
  <si>
    <t>Taghivand; Mazhareddin</t>
  </si>
  <si>
    <t>2011/03/23</t>
  </si>
  <si>
    <t>H03B 19/06</t>
  </si>
  <si>
    <t>PCT/US2012/03047.4</t>
  </si>
  <si>
    <t>A frequency divider circuit</t>
  </si>
  <si>
    <t>Mazhareddin Taghivand|Jafar Savoj|Mingdeng Chen</t>
  </si>
  <si>
    <t>Mazhareddin Taghivand</t>
  </si>
  <si>
    <t>2012/03/23</t>
  </si>
  <si>
    <t>2012/09/27</t>
  </si>
  <si>
    <t>H03K 23/42</t>
  </si>
  <si>
    <t>CN201010251261.2</t>
  </si>
  <si>
    <t>面向嵌入式异构多核上执行动态分配指令的方法</t>
  </si>
  <si>
    <t>过敏意|娄林|伍倩|朱寅|沈耀|马曦|唐飞龙</t>
  </si>
  <si>
    <t>过敏意</t>
  </si>
  <si>
    <t>2010/08/11</t>
  </si>
  <si>
    <t>7.58</t>
  </si>
  <si>
    <t>13/303,871</t>
  </si>
  <si>
    <t>Dynamic power optimization for computing devices</t>
  </si>
  <si>
    <t>Vick; Christopher A.|Wright; Gregory M.</t>
  </si>
  <si>
    <t>Vick; Christopher A.</t>
  </si>
  <si>
    <t>2011/09/20</t>
  </si>
  <si>
    <t>2011/11/23</t>
  </si>
  <si>
    <t>2014/08/05</t>
  </si>
  <si>
    <t>13/303,841</t>
  </si>
  <si>
    <t>Power consumption optimized translation of object code partitioned for hardware component based on identified operations</t>
  </si>
  <si>
    <t>2011/09/23</t>
  </si>
  <si>
    <t>2015/08/04</t>
  </si>
  <si>
    <t>0.20</t>
  </si>
  <si>
    <t>CN201010191625.2</t>
  </si>
  <si>
    <t>一种基于最大稳定极值区域的车牌检测与识别的方法</t>
  </si>
  <si>
    <t>牛海军|杨夙</t>
  </si>
  <si>
    <t>牛海军</t>
  </si>
  <si>
    <t>2010/10/13</t>
  </si>
  <si>
    <t>10.20</t>
  </si>
  <si>
    <t>14/150,682</t>
  </si>
  <si>
    <t>Processing text images with shadows</t>
  </si>
  <si>
    <t>Acharya; Hemanth P.|Baheti; Pawan Kumar|Barman; Kishor K.</t>
  </si>
  <si>
    <t>Acharya; Hemanth P.</t>
  </si>
  <si>
    <t>PCT/US2015/01019.8</t>
  </si>
  <si>
    <t>Hemanth P. ACHARYA|Pawan Kumar Baheti|Kishor K. BARMAN</t>
  </si>
  <si>
    <t>Hemanth P. ACHARYA</t>
  </si>
  <si>
    <t>2015/01/05</t>
  </si>
  <si>
    <t>2015/07/16</t>
  </si>
  <si>
    <t>G06K  9/38</t>
  </si>
  <si>
    <t>CN201010185864.7</t>
  </si>
  <si>
    <t>加耦合电感的倍流整流方式全桥直流变换器</t>
  </si>
  <si>
    <t>南京航空航天大学</t>
  </si>
  <si>
    <t>陈仲|陈淼|季飚|张鑫</t>
  </si>
  <si>
    <t>陈仲</t>
  </si>
  <si>
    <t>H02M  3/28</t>
  </si>
  <si>
    <t>2.2</t>
  </si>
  <si>
    <t>13/659,657</t>
  </si>
  <si>
    <t>Push-pull driver with stage inversion and method of operation</t>
  </si>
  <si>
    <t>Tseng; Ryan</t>
  </si>
  <si>
    <t>2012/02/21</t>
  </si>
  <si>
    <t>2015/11/24</t>
  </si>
  <si>
    <t>H01F 38/14</t>
  </si>
  <si>
    <t>WO2013US26723</t>
  </si>
  <si>
    <t>TRANSMITTER FOR TRANSFERRING POWER WIRELESSLY</t>
  </si>
  <si>
    <t>QUALCOMM INC</t>
  </si>
  <si>
    <t>TSENG RYAN</t>
  </si>
  <si>
    <t>2014/03/27</t>
  </si>
  <si>
    <t>CN201010171717.4</t>
  </si>
  <si>
    <t>一种LTE和WLAN的互连系统和切换方法</t>
  </si>
  <si>
    <t>刘应状|吴伟民|吕伟|刘德民</t>
  </si>
  <si>
    <t>2010/05/14</t>
  </si>
  <si>
    <t>38.92</t>
  </si>
  <si>
    <t>CN200880101550.5</t>
  </si>
  <si>
    <t>处理器</t>
  </si>
  <si>
    <t>雷丁大学</t>
  </si>
  <si>
    <t>詹姆斯·A·D·W·安德森</t>
  </si>
  <si>
    <t>2007/05/31</t>
  </si>
  <si>
    <t>2008/05/30</t>
  </si>
  <si>
    <t>G06F 15/82</t>
  </si>
  <si>
    <t>GB</t>
  </si>
  <si>
    <t>2.56</t>
  </si>
  <si>
    <t>CN201280041849.2</t>
  </si>
  <si>
    <t>具有用于虚拟化输入/输出的处理器局部一致性的计算机系统</t>
  </si>
  <si>
    <t>克里斯托弗·爱德华·科布|卢西恩·科德雷斯库|埃里克·詹姆斯·普隆迪克|布赖恩·C·拜尔德费尔</t>
  </si>
  <si>
    <t>克里斯托弗·爱德华·科布</t>
  </si>
  <si>
    <t>2011/09/01</t>
  </si>
  <si>
    <t>2016/06/01</t>
  </si>
  <si>
    <t>G06F 13/28</t>
  </si>
  <si>
    <t>CN201010115949.8</t>
  </si>
  <si>
    <t>神经网络建模方法及系统</t>
  </si>
  <si>
    <t>浙江大学|浙江中控研究院有限公司|中控科技集团有限公司</t>
  </si>
  <si>
    <t>浙江大学|浙江中控电气技术有限公司|浙江中控电气技术有限公司</t>
  </si>
  <si>
    <t>陈鹏|吕勇哉|潘再生|褚健</t>
  </si>
  <si>
    <t>陈鹏</t>
  </si>
  <si>
    <t>2010/02/11</t>
  </si>
  <si>
    <t>2010/07/21</t>
  </si>
  <si>
    <t>G05B</t>
  </si>
  <si>
    <t>G05B 13/02</t>
  </si>
  <si>
    <t>6.88</t>
  </si>
  <si>
    <t>14/070,652</t>
  </si>
  <si>
    <t>Piecewise linear neuron modeling</t>
  </si>
  <si>
    <t>QUALCOM INCORPORATED</t>
  </si>
  <si>
    <t>Padovani; Roberto|Yoon; Young Cheul|Bhushan; Naga</t>
  </si>
  <si>
    <t>Padovani; Roberto</t>
  </si>
  <si>
    <t>2012/11/20</t>
  </si>
  <si>
    <t>2013/11/04</t>
  </si>
  <si>
    <t>14/070,679</t>
  </si>
  <si>
    <t>Yoon; Young Cheul|Carey; Ryan Michael|Padovani; Roberto</t>
  </si>
  <si>
    <t>Yoon; Young Cheul</t>
  </si>
  <si>
    <t>2016/10/25</t>
  </si>
  <si>
    <t>CN201010102510.1</t>
  </si>
  <si>
    <t>头盔式虚拟现实环境中参与者实际手的可视化方法和系统</t>
  </si>
  <si>
    <t>顾宏斌|汤勇|吴东苏</t>
  </si>
  <si>
    <t>顾宏斌</t>
  </si>
  <si>
    <t>2010/01/28</t>
  </si>
  <si>
    <t>2010/06/09</t>
  </si>
  <si>
    <t>3.20</t>
  </si>
  <si>
    <t>13/434,317</t>
  </si>
  <si>
    <t>Anchoring virtual images to real world surfaces in augmented reality systems</t>
  </si>
  <si>
    <t>Maciocci; Giuliano|Everitt; Andrew J.|Mabbutt; Paul|Berry; David T.</t>
  </si>
  <si>
    <t>Maciocci; Giuliano</t>
  </si>
  <si>
    <t>2011/03/29</t>
  </si>
  <si>
    <t>2012/03/29</t>
  </si>
  <si>
    <t>H04N 13/04</t>
  </si>
  <si>
    <t>CN201280016317.3</t>
  </si>
  <si>
    <t>使用骨骼跟踪来选择性地将手遮蔽在物理表面上的虚拟投影之上</t>
  </si>
  <si>
    <t>G·玛克西齐|A·J·艾法利特|P·玛布特|D·T·贝瑞</t>
  </si>
  <si>
    <t>G·玛克西齐</t>
  </si>
  <si>
    <t>2014/01/01</t>
  </si>
  <si>
    <t>G06T 19/00</t>
  </si>
  <si>
    <t>公开</t>
  </si>
  <si>
    <t>CN200780053126.3</t>
  </si>
  <si>
    <t>无线能量传输</t>
  </si>
  <si>
    <t>麻省理工学院</t>
  </si>
  <si>
    <t>A·卡拉里斯|A·B·库尔斯|R·莫法特|J·D·琼诺普洛斯|P·H·费希尔|M·索亚契奇</t>
  </si>
  <si>
    <t>A·卡拉里斯</t>
  </si>
  <si>
    <t>2007/03/27</t>
  </si>
  <si>
    <t>2010/03/24</t>
  </si>
  <si>
    <t>25.70</t>
  </si>
  <si>
    <t>12/211,750</t>
  </si>
  <si>
    <t>High efficiency and power transfer in wireless power magnetic resonators</t>
  </si>
  <si>
    <t>2007/09/17</t>
  </si>
  <si>
    <t>2008/09/16</t>
  </si>
  <si>
    <t>14/309,754</t>
  </si>
  <si>
    <t>Cook; Nigel P.|Widmer; Hanspeter|Sieber; Lukas</t>
  </si>
  <si>
    <t>2014/06/19</t>
  </si>
  <si>
    <t>CN200910104561.5</t>
  </si>
  <si>
    <t>多址系统中抑制波束之间交叠干扰的方法和系统</t>
  </si>
  <si>
    <t>张祖凡|卢晓宇|丁市召</t>
  </si>
  <si>
    <t>张祖凡</t>
  </si>
  <si>
    <t>2009/08/07</t>
  </si>
  <si>
    <t>1.34</t>
  </si>
  <si>
    <t>PCT/CN2013/07656.7</t>
  </si>
  <si>
    <t>Dynamic vertical sectorization</t>
  </si>
  <si>
    <t>2013/05/31</t>
  </si>
  <si>
    <t>2014/12/04</t>
  </si>
  <si>
    <t>PCT/CN2014/07863.3</t>
  </si>
  <si>
    <t>Linear precoding in full-dimensional mimo systems and dynamic vertical sectorization</t>
  </si>
  <si>
    <t>Yu Zhang|Wei Chao|Peng Cheng|Neng Wang|Jilei Hou</t>
  </si>
  <si>
    <t>2014/05/28</t>
  </si>
  <si>
    <t>CN200910102153.6</t>
  </si>
  <si>
    <t>一种融合运动信息与几何信息的深度提取方法</t>
  </si>
  <si>
    <t>黄晓军|黄俊钧|王梁昊|李东晓|张  明</t>
  </si>
  <si>
    <t>黄晓军</t>
  </si>
  <si>
    <t>2009/08/17</t>
  </si>
  <si>
    <t>2010/02/03</t>
  </si>
  <si>
    <t>30.55</t>
  </si>
  <si>
    <t>12/953,310</t>
  </si>
  <si>
    <t>Depth estimation based on global motion and optical flow</t>
  </si>
  <si>
    <t>Zhang; Rong|Chen; Ying|Karczewicz; Marta</t>
  </si>
  <si>
    <t>Zhang; Rong</t>
  </si>
  <si>
    <t>13/301,225</t>
  </si>
  <si>
    <t>Depth estimation based on global motion</t>
  </si>
  <si>
    <t>2011/11/21</t>
  </si>
  <si>
    <t>CN200920126846.4</t>
  </si>
  <si>
    <t>手指静脉身份识别系统的图像采集装置</t>
  </si>
  <si>
    <t>重庆工学院</t>
  </si>
  <si>
    <t>余成波|杨数强|秦华锋|李彦林</t>
  </si>
  <si>
    <t>余成波</t>
  </si>
  <si>
    <t>2009/03/30</t>
  </si>
  <si>
    <t>2010/01/13</t>
  </si>
  <si>
    <t>16.12</t>
  </si>
  <si>
    <t>14/265,942</t>
  </si>
  <si>
    <t>Controlling access to a mobile device</t>
  </si>
  <si>
    <t>Forutanpour; Babak|Parekh; Shyam K.|Forrester; John|Prasad; Harsha Rajendra</t>
  </si>
  <si>
    <t>Forutanpour; Babak</t>
  </si>
  <si>
    <t>2011/10/27</t>
  </si>
  <si>
    <t>2014/04/30</t>
  </si>
  <si>
    <t>H04M  1/24</t>
  </si>
  <si>
    <t>12/851,413</t>
  </si>
  <si>
    <t>Communication management utilizing destination device user presence probability</t>
  </si>
  <si>
    <t>Salazar; Selena M.|Momeyer; Brian|Forutanpour; Babak|Schevciw; Andre Gustavo P.</t>
  </si>
  <si>
    <t>Salazar; Selena M.</t>
  </si>
  <si>
    <t>G06F 15/163</t>
  </si>
  <si>
    <t>CN200910060063.5</t>
  </si>
  <si>
    <t>一种减小柱面光栅自由立体显示器图像串扰的方法</t>
  </si>
  <si>
    <t>四川大学</t>
  </si>
  <si>
    <t>王琼华|陶宇虹|谷  俊|李大海|赵悟翔</t>
  </si>
  <si>
    <t>王琼华</t>
  </si>
  <si>
    <t>2009/07/21</t>
  </si>
  <si>
    <t>2010/01/06</t>
  </si>
  <si>
    <t>4.31</t>
  </si>
  <si>
    <t>13/552,370</t>
  </si>
  <si>
    <t>Crosstalk reduction with location-based adjustment in multiview video processing</t>
  </si>
  <si>
    <t>Dane; Gokce|Bhaskaran; Vasudev</t>
  </si>
  <si>
    <t>Dane; Gokce</t>
  </si>
  <si>
    <t>CN201380037537.9</t>
  </si>
  <si>
    <t>多视图视频处理中的具有基于位置的调整的串扰降低</t>
  </si>
  <si>
    <t>格克切·戴恩|瓦苏德弗·巴斯卡兰</t>
  </si>
  <si>
    <t>格克切·戴恩</t>
  </si>
  <si>
    <t>2013/06/18</t>
  </si>
  <si>
    <t>2017/09/29</t>
  </si>
  <si>
    <t>CN200810163752.4</t>
  </si>
  <si>
    <t>一种基于空间编码的手语运动信息与文本信息相互转换的实现方法</t>
  </si>
  <si>
    <t>浙江工业大学</t>
  </si>
  <si>
    <t>张宁宁|顾  容|应文良|李  晓</t>
  </si>
  <si>
    <t>张宁宁</t>
  </si>
  <si>
    <t>2008/12/30</t>
  </si>
  <si>
    <t>G09B</t>
  </si>
  <si>
    <t>G09B 21/00</t>
  </si>
  <si>
    <t>3.44</t>
  </si>
  <si>
    <t>13/078,400</t>
  </si>
  <si>
    <t>Method and apparatus for tracking orientation of a user</t>
  </si>
  <si>
    <t>Padovani; Niccolo A.|Julian; David Jonathan|Keating; Virginia Walker|Burdo; Rinat</t>
  </si>
  <si>
    <t>Padovani; Niccolo A.</t>
  </si>
  <si>
    <t>2011/04/01</t>
  </si>
  <si>
    <t>A63F</t>
  </si>
  <si>
    <t>A63F  9/24</t>
  </si>
  <si>
    <t>CN201180067209.4</t>
  </si>
  <si>
    <t>用于跟踪用户方位的方法和装置</t>
  </si>
  <si>
    <t>N·A·帕多瓦尼|D·J·朱利安|V·W·基廷|R·布尔多</t>
  </si>
  <si>
    <t>N·A·帕多瓦尼</t>
  </si>
  <si>
    <t>2011/06/20</t>
  </si>
  <si>
    <t>CN200810105691.6</t>
  </si>
  <si>
    <t>一种转码方法和装置</t>
  </si>
  <si>
    <t>鲍长春|徐  昊|唐繁荣|胡翔宇</t>
  </si>
  <si>
    <t>2009/11/04</t>
  </si>
  <si>
    <t>13/228,046</t>
  </si>
  <si>
    <t>Determining pitch cycle energy and scaling an excitation signal</t>
  </si>
  <si>
    <t>Krishnan; Venkatesh|Villette; Stephane Pierre</t>
  </si>
  <si>
    <t>Krishnan; Venkatesh</t>
  </si>
  <si>
    <t>2010/09/17</t>
  </si>
  <si>
    <t>2011/09/08</t>
  </si>
  <si>
    <t>2014/10/14</t>
  </si>
  <si>
    <t>CN201180044569.2</t>
  </si>
  <si>
    <t>确定音调循环能量及按比例缩放激励信号</t>
  </si>
  <si>
    <t>文卡特什·克里希南|斯特凡那·皮埃尔·维莱特</t>
  </si>
  <si>
    <t>2011/09/09</t>
  </si>
  <si>
    <t>G10L 19/097</t>
  </si>
  <si>
    <t>CN200910085198.7</t>
  </si>
  <si>
    <t>一种中继选择的方法及装置</t>
  </si>
  <si>
    <t>梁  慜|董  飞|王亚峰|杨大成</t>
  </si>
  <si>
    <t>梁  慜</t>
  </si>
  <si>
    <t>2009/10/21</t>
  </si>
  <si>
    <t>H04W 40/22</t>
  </si>
  <si>
    <t>2.92</t>
  </si>
  <si>
    <t>13/045,166</t>
  </si>
  <si>
    <t>Placement of wireless repeaters in a wireless communication network</t>
  </si>
  <si>
    <t>Baliga; Roshan R|Kamath; Purushotham</t>
  </si>
  <si>
    <t>Baliga; Roshan R</t>
  </si>
  <si>
    <t>2011/03/10</t>
  </si>
  <si>
    <t>2013/12/24</t>
  </si>
  <si>
    <t>PCT/US2012/03432.2</t>
  </si>
  <si>
    <t>Selecting forwarding devices in wireless communication networks</t>
  </si>
  <si>
    <t>Qualcomm Atheros, Inc.</t>
  </si>
  <si>
    <t>Roshan R. BALIGA|Steven J. Kuhn</t>
  </si>
  <si>
    <t>Roshan R. BALIGA</t>
  </si>
  <si>
    <t>2011/04/20</t>
  </si>
  <si>
    <t>2012/04/19</t>
  </si>
  <si>
    <t>CN200910029951.0</t>
  </si>
  <si>
    <t>基于双向中继的多用户无线通信系统及方法</t>
  </si>
  <si>
    <t>杨绿溪|赵  睿|李春国|仲崇显|俞  菲</t>
  </si>
  <si>
    <t>杨绿溪</t>
  </si>
  <si>
    <t>2009/08/26</t>
  </si>
  <si>
    <t>16.94</t>
  </si>
  <si>
    <t>13/229,426</t>
  </si>
  <si>
    <t>Method and apparatus for mitigating relay interference</t>
  </si>
  <si>
    <t>Lin; Dexu|Palanki; Ravi|Gore; Dhananjay Ashok</t>
  </si>
  <si>
    <t>Lin; Dexu</t>
  </si>
  <si>
    <t>2010/09/14</t>
  </si>
  <si>
    <t>CN201180044048.7</t>
  </si>
  <si>
    <t>用于缓解中继干扰的方法和装置</t>
  </si>
  <si>
    <t>D·林|R·帕兰基|D·A·高尔</t>
  </si>
  <si>
    <t>D·林</t>
  </si>
  <si>
    <t>2011/09/12</t>
  </si>
  <si>
    <t>CN200910077228.X</t>
  </si>
  <si>
    <t>一种平面视频转立体视频的方法和装置</t>
  </si>
  <si>
    <t>戴琼海|刘继明|曹  汛|谢旭东|王好谦</t>
  </si>
  <si>
    <t>2009/01/20</t>
  </si>
  <si>
    <t>8.93</t>
  </si>
  <si>
    <t>CN201080047743.4</t>
  </si>
  <si>
    <t>用于2D视频数据到3D视频数据的转换的深度图产生技术</t>
  </si>
  <si>
    <t>张荣|陈英|玛尔塔·卡切夫维琴</t>
  </si>
  <si>
    <t>张荣</t>
  </si>
  <si>
    <t>2010/10/22</t>
  </si>
  <si>
    <t>CN200910077111.1</t>
  </si>
  <si>
    <t>一种分布式机会性中继的网络数据传输方法</t>
  </si>
  <si>
    <t>钟晓峰|胡  宁|周世东|王  京</t>
  </si>
  <si>
    <t>钟晓峰</t>
  </si>
  <si>
    <t>2009/01/16</t>
  </si>
  <si>
    <t>6.39</t>
  </si>
  <si>
    <t>13/179,651</t>
  </si>
  <si>
    <t>Protocol for channel state information feedback</t>
  </si>
  <si>
    <t>Abraham; Santosh Paul|Merlin; Simone|Sampath; Hemanth|Vermani; Sameer</t>
  </si>
  <si>
    <t>Abraham; Santosh Paul</t>
  </si>
  <si>
    <t>2011/07/11</t>
  </si>
  <si>
    <t>CN201180037040.8</t>
  </si>
  <si>
    <t>用于信道状态信息反馈的协议</t>
  </si>
  <si>
    <t>S·P·亚伯拉罕|S·梅林|H·桑帕斯|S·韦尔玛尼</t>
  </si>
  <si>
    <t>S·P·亚伯拉罕</t>
  </si>
  <si>
    <t>2011/07/25</t>
  </si>
  <si>
    <t>2016/11/09</t>
  </si>
  <si>
    <t>CN200710198774.X</t>
  </si>
  <si>
    <t>带宽扩展中激励信号的生成及信号重建方法和装置</t>
  </si>
  <si>
    <t>华为技术有限公司|武汉大学</t>
  </si>
  <si>
    <t>胡瑞敏|张  勇|谢  昭|王晓晨|肖  玮|马付伟|王庭红</t>
  </si>
  <si>
    <t>胡瑞敏</t>
  </si>
  <si>
    <t>G10L 19/08</t>
  </si>
  <si>
    <t>7.45</t>
  </si>
  <si>
    <t>CN201180026945.5</t>
  </si>
  <si>
    <t>用于宽带语音编码的系统、方法、设备</t>
  </si>
  <si>
    <t>杨岱|丹尼尔·J·辛德尔</t>
  </si>
  <si>
    <t>杨岱</t>
  </si>
  <si>
    <t>2011/06/01</t>
  </si>
  <si>
    <t>2014/08/06</t>
  </si>
  <si>
    <t>G10L 21/0232</t>
  </si>
  <si>
    <t>用于宽带语音编码的系统、方法、设备和计算机程序产品</t>
  </si>
  <si>
    <t>CN200710178094.1</t>
  </si>
  <si>
    <t>蜂窝系统中基于动态小区组的分级式无线资源管理方法</t>
  </si>
  <si>
    <t>张天魁|曾志民|冯春燕|王  康</t>
  </si>
  <si>
    <t>张天魁</t>
  </si>
  <si>
    <t>20.96</t>
  </si>
  <si>
    <t>CN201180015216.X</t>
  </si>
  <si>
    <t>针对异构网络的系统接入</t>
  </si>
  <si>
    <t>罗涛|J·蒙托霍|W·陈</t>
  </si>
  <si>
    <t>2010/02/19</t>
  </si>
  <si>
    <t>2011/02/18</t>
  </si>
  <si>
    <t>2012/12/12</t>
  </si>
  <si>
    <t>CN200810195081.X</t>
  </si>
  <si>
    <t>多跳无线网络中一种分布式帧起始时间同步的方法</t>
  </si>
  <si>
    <t>东南大学|韩国电子通信研究院</t>
  </si>
  <si>
    <t>张  源|潘志文|尤肖虎|郑炳章|金洙畅|安载泳</t>
  </si>
  <si>
    <t>张  源</t>
  </si>
  <si>
    <t>2008/10/29</t>
  </si>
  <si>
    <t>5.27</t>
  </si>
  <si>
    <t>CN201080052225.1</t>
  </si>
  <si>
    <t>用于实现分布式信标发射的方法和设备</t>
  </si>
  <si>
    <t>阿温纳什·贾因|赫曼特·桑帕特|穆罕默德·侯赛因·塔加维纳斯拉巴迪|桑托什·保罗·亚伯拉罕</t>
  </si>
  <si>
    <t>阿温纳什·贾因</t>
  </si>
  <si>
    <t>2009/11/20</t>
  </si>
  <si>
    <t>2010/11/19</t>
  </si>
  <si>
    <t>2016/06/22</t>
  </si>
  <si>
    <t>H04W 48/12</t>
  </si>
  <si>
    <t>阿温纳什·贾因|赫曼特·桑帕特|穆罕默德·侯赛因·塔加维纳斯拉巴|迪|桑托什·保罗·亚伯拉罕</t>
  </si>
  <si>
    <t>2012/08/22</t>
  </si>
  <si>
    <t>CN200810167782.2</t>
  </si>
  <si>
    <t>双向约束的二维物点与像点匹配方法</t>
  </si>
  <si>
    <t>魏振忠|王  巍|张广军|赵  征|李庆波</t>
  </si>
  <si>
    <t>魏振忠</t>
  </si>
  <si>
    <t>2008/07/11</t>
  </si>
  <si>
    <t>2008/10/07</t>
  </si>
  <si>
    <t>1.9</t>
  </si>
  <si>
    <t>CN201080054072.4</t>
  </si>
  <si>
    <t>通过使查询图像和模型图像中的检测到的关键点成群集而进行特征匹配</t>
  </si>
  <si>
    <t>桑迪普·瓦达迪|约翰·H·洪|奥努尔·C·哈姆西奇|尤里娅·列兹尼克|重·U·李</t>
  </si>
  <si>
    <t>桑迪普·瓦达迪</t>
  </si>
  <si>
    <t>G06K  9/64</t>
  </si>
  <si>
    <t>2012/10/31</t>
  </si>
  <si>
    <t>CN200810021795.9</t>
  </si>
  <si>
    <t>莱斯信道下的多用户系统自适应反馈方法</t>
  </si>
  <si>
    <t>杨亥娟|邱  玲</t>
  </si>
  <si>
    <t>杨亥娟</t>
  </si>
  <si>
    <t>2009/01/07</t>
  </si>
  <si>
    <t>4.74</t>
  </si>
  <si>
    <t>13/227,185</t>
  </si>
  <si>
    <t>Sounding feedback schemes for very high throughput wireless systems</t>
  </si>
  <si>
    <t>Vermani; Sameer|Tandra; Rahul|Van Zelst; Albert|Van Nee; Didier Johannes Richard|Sampath; Hemanth|Jones, IV; Vincent Knowles</t>
  </si>
  <si>
    <t>Vermani; Sameer</t>
  </si>
  <si>
    <t>2010/09/08</t>
  </si>
  <si>
    <t>2011/09/07</t>
  </si>
  <si>
    <t>CN201180043058.9</t>
  </si>
  <si>
    <t>用于甚高吞吐量无线系统的探测反馈方法及设备</t>
  </si>
  <si>
    <t>萨米尔·维尔马尼|拉胡尔·坦德拉|艾伯特·范策尔斯特|迪迪埃 约翰内斯·理查德·范尼|赫曼特·桑帕特|文森特·诺尔斯·约内斯 四世</t>
  </si>
  <si>
    <t>萨米尔·维尔马尼</t>
  </si>
  <si>
    <t>2017/02/08</t>
  </si>
  <si>
    <t>CN200810150324.8</t>
  </si>
  <si>
    <t>基于学习的视频中显著物体序列自动检测方法</t>
  </si>
  <si>
    <t>刘  铁|袁泽剑|郑南宁|盛兴东|崔  超|张  耿|董  毅</t>
  </si>
  <si>
    <t>刘  铁</t>
  </si>
  <si>
    <t>28.41</t>
  </si>
  <si>
    <t>CN201180005496.6</t>
  </si>
  <si>
    <t>用于均匀和非均匀照明变化中的改善的特征检测的尺度空间正规化技术</t>
  </si>
  <si>
    <t>桑迪普·瓦达迪|约翰·H·洪|奥努尔·C·哈姆西奇|重·U·李</t>
  </si>
  <si>
    <t>2010/01/08</t>
  </si>
  <si>
    <t>2011/01/08</t>
  </si>
  <si>
    <t>2015/05/13</t>
  </si>
  <si>
    <t>2012/10/03</t>
  </si>
  <si>
    <t>CN200810053930.8</t>
  </si>
  <si>
    <t>人体赤足迹形态学特征提取方法</t>
  </si>
  <si>
    <t>明  东|辜承慰|南文雅|万柏坤</t>
  </si>
  <si>
    <t>明  东</t>
  </si>
  <si>
    <t>A61B  5/117</t>
  </si>
  <si>
    <t>4.7</t>
  </si>
  <si>
    <t>CN201180036810.7</t>
  </si>
  <si>
    <t>使用增量特征提取的对象辨识</t>
  </si>
  <si>
    <t>帕温·库玛·拜哈提|桑迪普·瓦达迪|阿许温·史汪明纳桑|尤里·列兹尼克|奥努尔·C·哈姆西奇|穆拉利·拉马斯瓦米·查里|约翰·H·洪|琼·厄克·李</t>
  </si>
  <si>
    <t>帕温·库玛·拜哈提</t>
  </si>
  <si>
    <t>2015/12/16</t>
  </si>
  <si>
    <t>CN200810041210.X</t>
  </si>
  <si>
    <t>基于模式映射的多标准帧内预测器的硬件实现方法及装置</t>
  </si>
  <si>
    <t>洪  宇|张  航|周金佳|刘佩林</t>
  </si>
  <si>
    <t>洪  宇</t>
  </si>
  <si>
    <t>11.90</t>
  </si>
  <si>
    <t>CN201180047768.9</t>
  </si>
  <si>
    <t>使用帧内预测的视频译码</t>
  </si>
  <si>
    <t>翔林·王|马尔塔·卡切维奇|钱威俊</t>
  </si>
  <si>
    <t>翔林·王</t>
  </si>
  <si>
    <t>2010/10/01</t>
  </si>
  <si>
    <t>2011/09/29</t>
  </si>
  <si>
    <t>2016/05/04</t>
  </si>
  <si>
    <t>H04N 19/176</t>
  </si>
  <si>
    <t>2013/06/05</t>
  </si>
  <si>
    <t>G06T  9/00</t>
  </si>
  <si>
    <t>CN200810038205.3</t>
  </si>
  <si>
    <t>基于有限反馈的多用户MIMO系统信道量化方法和装置</t>
  </si>
  <si>
    <t>俞子丰|罗汉文|郭  佳|李洪星|王  超</t>
  </si>
  <si>
    <t>俞子丰</t>
  </si>
  <si>
    <t>2008/05/29</t>
  </si>
  <si>
    <t>6.67</t>
  </si>
  <si>
    <t>12/620,141</t>
  </si>
  <si>
    <t>Method and apparatus for channel estimation using multiple description codes</t>
  </si>
  <si>
    <t>Mallik; Siddhartha|Gorokhov; Alexei</t>
  </si>
  <si>
    <t>Mallik; Siddhartha</t>
  </si>
  <si>
    <t>2009/01/06</t>
  </si>
  <si>
    <t>2009/11/17</t>
  </si>
  <si>
    <t>G01R 31/08</t>
  </si>
  <si>
    <t>CN200980153956.2</t>
  </si>
  <si>
    <t>使用多描述码进行信道估计的方法和系统</t>
  </si>
  <si>
    <t>2009/11/29</t>
  </si>
  <si>
    <t>CN200710097208.X</t>
  </si>
  <si>
    <t>一种网络切换方法、装置及系统</t>
  </si>
  <si>
    <t>华为技术有限公司|北京邮电大学</t>
  </si>
  <si>
    <t>王  莹|周  云|袁  俊|鄢人杰|姚忠辉|何  诚|张  平</t>
  </si>
  <si>
    <t>王  莹</t>
  </si>
  <si>
    <t>2007/04/27</t>
  </si>
  <si>
    <t>8.41</t>
  </si>
  <si>
    <t>14/002,406</t>
  </si>
  <si>
    <t>Systems and methods for inter-radio access technology (RAT) mobility</t>
  </si>
  <si>
    <t>Granzow; Wolfgang|Zhu; Xipeng|Griot; Miguel</t>
  </si>
  <si>
    <t>Granzow; Wolfgang</t>
  </si>
  <si>
    <t>2011/04/02</t>
  </si>
  <si>
    <t>PCT/CN2011/07242.4</t>
  </si>
  <si>
    <t>Systems and methods for inter-radio access technology (rat) mobility</t>
  </si>
  <si>
    <t>Wolfgang Granzow|Xipeng Zhu|Miguel Griot</t>
  </si>
  <si>
    <t>Wolfgang Granzow</t>
  </si>
  <si>
    <t>2012/10/11</t>
  </si>
  <si>
    <t>2.46</t>
  </si>
  <si>
    <t>CN200810007679.1</t>
  </si>
  <si>
    <t>一种引入矢量定位的移动对等网络资源发现方法</t>
  </si>
  <si>
    <t>屈海涛|宋美娜|满  毅|邹东尧|陈  辉|郭志云|许  可|宋俊德</t>
  </si>
  <si>
    <t>屈海涛</t>
  </si>
  <si>
    <t>2008/03/06</t>
  </si>
  <si>
    <t>2008/08/06</t>
  </si>
  <si>
    <t>14.15</t>
  </si>
  <si>
    <t>12/604,625</t>
  </si>
  <si>
    <t>Static nodes positioning in a wireless network</t>
  </si>
  <si>
    <t>Eruchimovitch; Baruch|Bornstein; Gilad|Strauss; Nir</t>
  </si>
  <si>
    <t>Eruchimovitch; Baruch</t>
  </si>
  <si>
    <t>2014/01/28</t>
  </si>
  <si>
    <t>CN200980144612.5</t>
  </si>
  <si>
    <t>无线网络中的静态节点定位</t>
  </si>
  <si>
    <t>B·乌齐莫维奇|G·伯恩斯坦|N·斯特劳斯</t>
  </si>
  <si>
    <t>B·乌齐莫维奇</t>
  </si>
  <si>
    <t>2014/04/23</t>
  </si>
  <si>
    <t>H04W 84/20</t>
  </si>
  <si>
    <t>CN200810046622.2</t>
  </si>
  <si>
    <t>一种脉宽调制DC-DC开关电源的软启动电路</t>
  </si>
  <si>
    <t>邹雪城|刘政林|陈晓飞|李思臻|甘  泉|张  浩|张  涛|吴  俊</t>
  </si>
  <si>
    <t>邹雪城</t>
  </si>
  <si>
    <t>2008/07/09</t>
  </si>
  <si>
    <t>H02M  1/36</t>
  </si>
  <si>
    <t>10.84</t>
  </si>
  <si>
    <t>CN201080032878.3</t>
  </si>
  <si>
    <t>具有可变控制电压的开关</t>
  </si>
  <si>
    <t>马尔科·卡西亚</t>
  </si>
  <si>
    <t>H03K 17/06</t>
  </si>
  <si>
    <t>CN200810032741.2</t>
  </si>
  <si>
    <t>剧烈光照变化下基于角点匹配与光流法的运动估计方法</t>
  </si>
  <si>
    <t>梁  博|罗青山|曾贵华</t>
  </si>
  <si>
    <t>梁  博</t>
  </si>
  <si>
    <t>2008/01/17</t>
  </si>
  <si>
    <t>13.86</t>
  </si>
  <si>
    <t>14/446,031</t>
  </si>
  <si>
    <t>Content-adaptive pixel processing systems, methods and apparatus</t>
  </si>
  <si>
    <t>Qi; Yingyong|Bi; Ning|Zhang; Xuerui</t>
  </si>
  <si>
    <t>Qi; Yingyong</t>
  </si>
  <si>
    <t>2011/06/14</t>
  </si>
  <si>
    <t>2016/04/26</t>
  </si>
  <si>
    <t>CN201280033940.X</t>
  </si>
  <si>
    <t>用于确定光流的内容自适应系统、方法和设备</t>
  </si>
  <si>
    <t>齐英勇|毕宁|张雪瑞</t>
  </si>
  <si>
    <t>齐英勇</t>
  </si>
  <si>
    <t>2012/06/05</t>
  </si>
  <si>
    <t>2016/12/07</t>
  </si>
  <si>
    <t>CN200710169028.8</t>
  </si>
  <si>
    <t>基于带宽借贷的以太网无源光网络动态带宽分配方法</t>
  </si>
  <si>
    <t>刘  海|谭哲元|刘德明|何  炜|曾  成|黄  晶</t>
  </si>
  <si>
    <t>刘  海</t>
  </si>
  <si>
    <t>2007/12/27</t>
  </si>
  <si>
    <t>5.11</t>
  </si>
  <si>
    <t>CN201010506005.3</t>
  </si>
  <si>
    <t>EPON系统中多DBA周期的实现方法</t>
  </si>
  <si>
    <t>高通创锐讯通讯科技（上海）有限公司</t>
  </si>
  <si>
    <t>李旭光|何运锋</t>
  </si>
  <si>
    <t>李旭光</t>
  </si>
  <si>
    <t>2015/11/18</t>
  </si>
  <si>
    <t>H04Q 11/00</t>
  </si>
  <si>
    <t>CN200680018405.1</t>
  </si>
  <si>
    <t>具有基于流控制传输协议的移交功能的终端和该终端的基于流控制传输协议的移交方法</t>
  </si>
  <si>
    <t>三星电子株式会社|庆北大学教产学协力团</t>
  </si>
  <si>
    <t>高硕住|金东苾</t>
  </si>
  <si>
    <t>高硕住</t>
  </si>
  <si>
    <t>2005/05/27</t>
  </si>
  <si>
    <t>2006/05/25</t>
  </si>
  <si>
    <t>13/450,389</t>
  </si>
  <si>
    <t>Switching between radio access technologies at a multi-mode access point</t>
  </si>
  <si>
    <t>Tinnakornsrisuphap; Peerapol|Yavuz; Mehmet|Giaretta; Gerardo</t>
  </si>
  <si>
    <t>CN201280026588.7</t>
  </si>
  <si>
    <t>在多模式接入点处的无线接入技术之间的切换</t>
  </si>
  <si>
    <t>P·丁娜功西素帕普|M·亚武兹|G·贾雷塔</t>
  </si>
  <si>
    <t>P·丁娜功西素帕普</t>
  </si>
  <si>
    <t>2017/03/01</t>
  </si>
  <si>
    <t>H04W 36/22</t>
  </si>
  <si>
    <t>CN200710175874.0</t>
  </si>
  <si>
    <t>一种基于集中服务的分布式对等网络的实现方法及系统</t>
  </si>
  <si>
    <t>北京交通大学</t>
  </si>
  <si>
    <t>张宏科|张宇翔|秦雅娟|罗洪斌|杨  冬|吴恒奎|宋  飞|万  明</t>
  </si>
  <si>
    <t>张宏科</t>
  </si>
  <si>
    <t>2008/05/14</t>
  </si>
  <si>
    <t>H04L 12/42</t>
  </si>
  <si>
    <t>25.17</t>
  </si>
  <si>
    <t>12/487,513</t>
  </si>
  <si>
    <t>Methods and apparatus for event distribution and routing in peer-to-peer overlay networks</t>
  </si>
  <si>
    <t>Jayaram; Ranjith S.|Hardie; Edward Thomas Lingham|Dondeti; Lakshminath Reddy|Narayanan; Vidya</t>
  </si>
  <si>
    <t>Jayaram; Ranjith S.</t>
  </si>
  <si>
    <t>CN200980122817.3</t>
  </si>
  <si>
    <t>用于在对等覆盖网络中事件分发和路由的方法和装置</t>
  </si>
  <si>
    <t>R·S·贾亚拉姆|E·T·L·哈迪|L·R·东代蒂|V·纳拉亚南</t>
  </si>
  <si>
    <t>R·S·贾亚拉姆</t>
  </si>
  <si>
    <t>2009/06/19</t>
  </si>
  <si>
    <t>2014/12/31</t>
  </si>
  <si>
    <t>CN200710018069.7</t>
  </si>
  <si>
    <t>基于IEEE802.22协议的CBP包帧结构及拍卖资源分配方法</t>
  </si>
  <si>
    <t>李维英|陈  睿|陈  东|李建东|刘  勤|李红艳|杨家玮</t>
  </si>
  <si>
    <t>李维英</t>
  </si>
  <si>
    <t>3.47</t>
  </si>
  <si>
    <t>12/390,092</t>
  </si>
  <si>
    <t>Fair resource sharing in wireless communications</t>
  </si>
  <si>
    <t>Chakrabarti; Arnab|Stamoulis; Anastasios|Lin; Dexu|Yazdi; Kambiz Azarian|Ji; Tingfang</t>
  </si>
  <si>
    <t>Chakrabarti; Arnab</t>
  </si>
  <si>
    <t>2008/06/26</t>
  </si>
  <si>
    <t>2009/02/20</t>
  </si>
  <si>
    <t>13/572,634</t>
  </si>
  <si>
    <t>Fair resource sharing in wireless communication</t>
  </si>
  <si>
    <t>Chakrabarti; Arnab|Stamoulis; Anastasios|Lin; Dexu|Azarian Yazdi; Kambiz|Ji; Tingfang</t>
  </si>
  <si>
    <t>2012/08/11</t>
  </si>
  <si>
    <t>2014/07/08</t>
  </si>
  <si>
    <t>CN200710156361.5</t>
  </si>
  <si>
    <t>本体模式与关系数据库模式之间语义映射信息的编辑方法</t>
  </si>
  <si>
    <t>吴朝晖|周春英|王  恒|陈华钧</t>
  </si>
  <si>
    <t>吴朝晖</t>
  </si>
  <si>
    <t>2007/10/29</t>
  </si>
  <si>
    <t>2008/03/26</t>
  </si>
  <si>
    <t>11.87</t>
  </si>
  <si>
    <t>12/359,534</t>
  </si>
  <si>
    <t>Communications methods and apparatus for use in communicating with communications peers</t>
  </si>
  <si>
    <t>Haddad; Wassim Michel|Corson; M. Scott|Park; Vincent D.</t>
  </si>
  <si>
    <t>Haddad; Wassim Michel</t>
  </si>
  <si>
    <t>2009/01/26</t>
  </si>
  <si>
    <t>CN201080005432.1</t>
  </si>
  <si>
    <t>用于可信赖性确定的方法和通信节点</t>
  </si>
  <si>
    <t>W·M·哈达德|M·S·柯森|V·D·帕克</t>
  </si>
  <si>
    <t>W·M·哈达德</t>
  </si>
  <si>
    <t>2010/01/26</t>
  </si>
  <si>
    <t>CN200710070314.9</t>
  </si>
  <si>
    <t>串行输入并行输出的视频图像亮度插值的方法和装置</t>
  </si>
  <si>
    <t>戴  郁|郑  伟|李东晓|骆  凯|张  明</t>
  </si>
  <si>
    <t>戴  郁</t>
  </si>
  <si>
    <t>2007/07/24</t>
  </si>
  <si>
    <t>2008/03/12</t>
  </si>
  <si>
    <t>H04N  5/14</t>
  </si>
  <si>
    <t>12/208,269</t>
  </si>
  <si>
    <t>Video encoding by filter selection</t>
  </si>
  <si>
    <t>Motta; Giovanni|Karczewicz; Marta|Ye; Yan</t>
  </si>
  <si>
    <t>Motta; Giovanni</t>
  </si>
  <si>
    <t>2008/07/07</t>
  </si>
  <si>
    <t>CN200980126311.X</t>
  </si>
  <si>
    <t>通过过滤器选择进行的视频编码</t>
  </si>
  <si>
    <t>乔瓦尼·莫塔|马尔塔·卡切维奇|叶琰</t>
  </si>
  <si>
    <t>乔瓦尼·莫塔</t>
  </si>
  <si>
    <t>2009/06/26</t>
  </si>
  <si>
    <t>H04N 19/117</t>
  </si>
  <si>
    <t>CN200710121941.0</t>
  </si>
  <si>
    <t>基于中继技术的多频点TD－SCDMA组网及通信的实现方法</t>
  </si>
  <si>
    <t>彭木根|王文博</t>
  </si>
  <si>
    <t>彭木根</t>
  </si>
  <si>
    <t>2007/09/18</t>
  </si>
  <si>
    <t>2008/02/27</t>
  </si>
  <si>
    <t>23.0</t>
  </si>
  <si>
    <t>12/050,074</t>
  </si>
  <si>
    <t>Reconfigurable multiple-input multiple-output systems and methods</t>
  </si>
  <si>
    <t>Rajamani; Krishnan|Soliman; Samir S.</t>
  </si>
  <si>
    <t>Rajamani; Krishnan</t>
  </si>
  <si>
    <t>2008/03/17</t>
  </si>
  <si>
    <t>CN200980109542.X</t>
  </si>
  <si>
    <t>可重新配置的多输入多输出系统和方法</t>
  </si>
  <si>
    <t>K·拉贾马尼|S·S·索利曼</t>
  </si>
  <si>
    <t>K·拉贾马尼</t>
  </si>
  <si>
    <t>2009/02/25</t>
  </si>
  <si>
    <t>CN200710018572.2</t>
  </si>
  <si>
    <t>用于OFDM系统的改进型LS信道估计方法</t>
  </si>
  <si>
    <t>李维英|李建东|李红艳|杨  胜|陈  东|庞继勇</t>
  </si>
  <si>
    <t>2007/09/04</t>
  </si>
  <si>
    <t>2008/01/30</t>
  </si>
  <si>
    <t>22.38</t>
  </si>
  <si>
    <t>12/052,429</t>
  </si>
  <si>
    <t>Channel estimation in wireless systems with impulsive interference</t>
  </si>
  <si>
    <t>Sampath; Ashwin|Li; Husheng</t>
  </si>
  <si>
    <t>Sampath; Ashwin</t>
  </si>
  <si>
    <t>2008/03/20</t>
  </si>
  <si>
    <t>CN200980105324.9</t>
  </si>
  <si>
    <t>具有冲激性干扰的无线系统中的信道估计</t>
  </si>
  <si>
    <t>A·萨姆帕斯|H·李</t>
  </si>
  <si>
    <t>A·萨姆帕斯</t>
  </si>
  <si>
    <t>2009/03/04</t>
  </si>
  <si>
    <t>CN200710120739.6</t>
  </si>
  <si>
    <t>基于无线传感器网络的工业生产车间安防定位系统及方法</t>
  </si>
  <si>
    <t>北京科技大学</t>
  </si>
  <si>
    <t>于  锋|张晓彤|王  沁|李  磊</t>
  </si>
  <si>
    <t>于  锋</t>
  </si>
  <si>
    <t>2008/01/23</t>
  </si>
  <si>
    <t>8.12</t>
  </si>
  <si>
    <t>CN200710120590.1</t>
  </si>
  <si>
    <t>大规模动态异构混合无线自组织网络中的接入及路由计算方法</t>
  </si>
  <si>
    <t>吴  威|曹  靖|刘昭屹|张兆丰|周  忠</t>
  </si>
  <si>
    <t>吴  威</t>
  </si>
  <si>
    <t>2007/08/21</t>
  </si>
  <si>
    <t>6.36</t>
  </si>
  <si>
    <t>CN201180056277.0</t>
  </si>
  <si>
    <t>用于针对非对等资源中的对等数据的资源分配的方法和装置</t>
  </si>
  <si>
    <t>S·帕蒂尔|H·王|X·吴|厉隽怿</t>
  </si>
  <si>
    <t>S·帕蒂尔</t>
  </si>
  <si>
    <t>2010/10/06</t>
  </si>
  <si>
    <t>2011/10/04</t>
  </si>
  <si>
    <t>CN200610098852.4</t>
  </si>
  <si>
    <t>动态调整无线网络中传输的业务服务质量的方法</t>
  </si>
  <si>
    <t>姚忠辉|张军平|方旭明|钟  爽</t>
  </si>
  <si>
    <t>姚忠辉</t>
  </si>
  <si>
    <t>2006/06/30</t>
  </si>
  <si>
    <t>2006/07/13</t>
  </si>
  <si>
    <t>2008/01/02</t>
  </si>
  <si>
    <t>3.94</t>
  </si>
  <si>
    <t>CN201080024701.9</t>
  </si>
  <si>
    <t>用于防止语音帧内的信息流失的系统与方法</t>
  </si>
  <si>
    <t>2014/10/22</t>
  </si>
  <si>
    <t>CN200710119009.4</t>
  </si>
  <si>
    <t>低功耗低时钟摆幅D触发器</t>
  </si>
  <si>
    <t>孙义和|张建军</t>
  </si>
  <si>
    <t>孙义和</t>
  </si>
  <si>
    <t>2007/11/28</t>
  </si>
  <si>
    <t>3.8</t>
  </si>
  <si>
    <t>CN200610171591.4</t>
  </si>
  <si>
    <t>掌纹图像信息采集、识别装置及方法</t>
  </si>
  <si>
    <t>阮秋琦|王艳霞|王  萌|丁冰玉|付树军|潘  新</t>
  </si>
  <si>
    <t>阮秋琦</t>
  </si>
  <si>
    <t>2006/12/31</t>
  </si>
  <si>
    <t>CN200710017625.9</t>
  </si>
  <si>
    <t>基于IFFT/FFT的预留子载波降低OFDM系统峰均功率比的方法和装置</t>
  </si>
  <si>
    <t>杨  刚|杨铮杰|李玉山</t>
  </si>
  <si>
    <t>杨  刚</t>
  </si>
  <si>
    <t>2007/04/06</t>
  </si>
  <si>
    <t>35.90</t>
  </si>
  <si>
    <t>12/248,775</t>
  </si>
  <si>
    <t>Method and apparatus for generation and usage of extended golay codes</t>
  </si>
  <si>
    <t>2008/10/09</t>
  </si>
  <si>
    <t>11/599,725</t>
  </si>
  <si>
    <t>Golay-code generation</t>
  </si>
  <si>
    <t>2005/11/16</t>
  </si>
  <si>
    <t>2006/11/15</t>
  </si>
  <si>
    <t>CN200610053390.4</t>
  </si>
  <si>
    <t>基于内容相关性的跨媒体检索方法</t>
  </si>
  <si>
    <t>潘云鹤|庄越挺|吴  飞|张  鸿</t>
  </si>
  <si>
    <t>潘云鹤</t>
  </si>
  <si>
    <t>2006/09/14</t>
  </si>
  <si>
    <t>18.77</t>
  </si>
  <si>
    <t>CN201080049782.8</t>
  </si>
  <si>
    <t>使用空间听觉线索的数据搜索</t>
  </si>
  <si>
    <t>向佩|马尼石·马哈詹</t>
  </si>
  <si>
    <t>向佩</t>
  </si>
  <si>
    <t>2009/11/03</t>
  </si>
  <si>
    <t>CN200710019977.8</t>
  </si>
  <si>
    <t>基于移动代理的无线传感器网络节点自身位置确定方法</t>
  </si>
  <si>
    <t>王汝传|蒋峥峥|陈  志|叶  宁|孙力娟|黄海平</t>
  </si>
  <si>
    <t>王汝传</t>
  </si>
  <si>
    <t>2007/02/05</t>
  </si>
  <si>
    <t>17.80</t>
  </si>
  <si>
    <t>CN200610166547.4</t>
  </si>
  <si>
    <t>一种基于混合移动网络的成组位置管理方法</t>
  </si>
  <si>
    <t>王芙蓉|涂  来|王  浩</t>
  </si>
  <si>
    <t>王芙蓉</t>
  </si>
  <si>
    <t>2006/12/29</t>
  </si>
  <si>
    <t>H04Q  7/24</t>
  </si>
  <si>
    <t>2.6</t>
  </si>
  <si>
    <t>13/111,760</t>
  </si>
  <si>
    <t>Apparatus for clustering cells using neighbor relations</t>
  </si>
  <si>
    <t>Brueck; Stefan|Dekorsy; Armin</t>
  </si>
  <si>
    <t>Brueck; Stefan</t>
  </si>
  <si>
    <t>2011/05/19</t>
  </si>
  <si>
    <t>H04W 16/18</t>
  </si>
  <si>
    <t>12/541,018</t>
  </si>
  <si>
    <t>Adaptive clustering framework in frequency-time for network MIMO systems</t>
  </si>
  <si>
    <t>Farajidana; Amir|Hou; Jilei|Ji; Tingfang|Mallik; Siddhartha</t>
  </si>
  <si>
    <t>Farajidana; Amir</t>
  </si>
  <si>
    <t>2009/08/13</t>
  </si>
  <si>
    <t>CN200610000541.X</t>
  </si>
  <si>
    <t>一种MIPv6移动节点的通信方法</t>
  </si>
  <si>
    <t>华为技术有限公司|北京交通大学</t>
  </si>
  <si>
    <t>苗福友|张宏科|鲁红梅|杨  申|张  晖</t>
  </si>
  <si>
    <t>苗福友</t>
  </si>
  <si>
    <t>2006/01/09</t>
  </si>
  <si>
    <t>H04L 29/12</t>
  </si>
  <si>
    <t>11.96</t>
  </si>
  <si>
    <t>12/434,331</t>
  </si>
  <si>
    <t>Home agent-less MIPv6 route optimization over WAN</t>
  </si>
  <si>
    <t>Haddad; Wassim Michel|Tsirtsis; George</t>
  </si>
  <si>
    <t>2009/05/01</t>
  </si>
  <si>
    <t>2014/05/27</t>
  </si>
  <si>
    <t>CN201080019120.6</t>
  </si>
  <si>
    <t>WAN上无归属代理的MIPv6路由优化</t>
  </si>
  <si>
    <t>W·M·哈达德|G·齐尔特西斯</t>
  </si>
  <si>
    <t>2010/04/29</t>
  </si>
  <si>
    <t>CN200610155060.6</t>
  </si>
  <si>
    <t>时分同步码分多址系统终端的单模双卡双待机方法</t>
  </si>
  <si>
    <t>杭州电子科技大学</t>
  </si>
  <si>
    <t>曾  嵘</t>
  </si>
  <si>
    <t>2006/12/07</t>
  </si>
  <si>
    <t>2007/06/06</t>
  </si>
  <si>
    <t>H04Q  7/32</t>
  </si>
  <si>
    <t>14.24</t>
  </si>
  <si>
    <t>12/855,511</t>
  </si>
  <si>
    <t>Uplink synchronization of TD-SCDMA multiple USIM mobile terminal during handover</t>
  </si>
  <si>
    <t>Chin; Tom|Shi; Guangming|Lee; Kuo-Chun</t>
  </si>
  <si>
    <t>2010/08/12</t>
  </si>
  <si>
    <t>CN201180001688.X</t>
  </si>
  <si>
    <t>在切换期间的TD-SCDMA多USIM移动终端的上行链路同步</t>
  </si>
  <si>
    <t>金汤|石光明|李国钧</t>
  </si>
  <si>
    <t>2011/08/11</t>
  </si>
  <si>
    <t>11.42</t>
  </si>
  <si>
    <t>CN200610144285.1</t>
  </si>
  <si>
    <t>一种跟踪多移动目标的室内精确定位方法</t>
  </si>
  <si>
    <t>史元春|陈  渝|谷红亮|江文峰|孙云峰</t>
  </si>
  <si>
    <t>史元春</t>
  </si>
  <si>
    <t>2006/12/01</t>
  </si>
  <si>
    <t>2007/05/16</t>
  </si>
  <si>
    <t>G01S 13/86</t>
  </si>
  <si>
    <t>19.98</t>
  </si>
  <si>
    <t>13/311,382</t>
  </si>
  <si>
    <t>Methods and apparatuses for use in selecting a transmitting device for use in a positioning function</t>
  </si>
  <si>
    <t>Sridhara; Vinay|Khorashadi; Behrooz|Das; Saumitra Mohan</t>
  </si>
  <si>
    <t>CN201280068382.0</t>
  </si>
  <si>
    <t>用于选择发射设备用于定位功能的方法和装置</t>
  </si>
  <si>
    <t>V·斯里哈拉|B·霍拉沙迪|S·M·达斯</t>
  </si>
  <si>
    <t>V·斯里哈拉</t>
  </si>
  <si>
    <t>2012/11/27</t>
  </si>
  <si>
    <t>CN200610040884.9</t>
  </si>
  <si>
    <t>无线自组织网络中基于付费的路由和转发方法</t>
  </si>
  <si>
    <t>王玉峰</t>
  </si>
  <si>
    <t>2006/08/02</t>
  </si>
  <si>
    <t>2007/03/28</t>
  </si>
  <si>
    <t>12/403,925</t>
  </si>
  <si>
    <t>Method of network management by assistance from terminal using control-plane signaling between terminal and network</t>
  </si>
  <si>
    <t>Song; Osok|Kitazoe; Masato|Flore; Oronzo|Mishra; Anjali|Grilli; Francesco</t>
  </si>
  <si>
    <t>Song; Osok</t>
  </si>
  <si>
    <t>2008/03/18</t>
  </si>
  <si>
    <t>2009/03/13</t>
  </si>
  <si>
    <t>H04J  1/16</t>
  </si>
  <si>
    <t>13/970,135</t>
  </si>
  <si>
    <t>2013/08/19</t>
  </si>
  <si>
    <t>CN200610151494.9</t>
  </si>
  <si>
    <t>在个人导航器中的检测步伐的设备和方法</t>
  </si>
  <si>
    <t>朴敬夏|洪炫秀|李在勉|朴赞国|金镇湲</t>
  </si>
  <si>
    <t>朴敬夏</t>
  </si>
  <si>
    <t>2005/09/16</t>
  </si>
  <si>
    <t>2006/09/12</t>
  </si>
  <si>
    <t>2007/03/21</t>
  </si>
  <si>
    <t>G01P 15/00</t>
  </si>
  <si>
    <t>3.2</t>
  </si>
  <si>
    <t>CN201280019711.2</t>
  </si>
  <si>
    <t>低平均速度步行运动标识</t>
  </si>
  <si>
    <t>J·M·伯克</t>
  </si>
  <si>
    <t>2012/02/24</t>
  </si>
  <si>
    <t>2016/01/06</t>
  </si>
  <si>
    <t>G01P 13/00</t>
  </si>
  <si>
    <t>CN200610075489.4</t>
  </si>
  <si>
    <t>用于蜂窝通信的自适应反馈方法</t>
  </si>
  <si>
    <t>赵成贤|尹相普|唐泰文|罗伯特·W·希思</t>
  </si>
  <si>
    <t>2005/04/20</t>
  </si>
  <si>
    <t>2006/04/20</t>
  </si>
  <si>
    <t>2007/02/07</t>
  </si>
  <si>
    <t>H04L  1/12</t>
  </si>
  <si>
    <t>14/661,493</t>
  </si>
  <si>
    <t>Devices for determining a reference subframe and determining a mode</t>
  </si>
  <si>
    <t>Chen; Wanshi|Gaal; Peter|Luo; Tao|Montojo; Juan</t>
  </si>
  <si>
    <t>2010/10/04</t>
  </si>
  <si>
    <t>2015/03/18</t>
  </si>
  <si>
    <t>H04W 24/10</t>
  </si>
  <si>
    <t>CN201180048128.X</t>
  </si>
  <si>
    <t>用于为反馈报告确定参考子帧以及确定反馈模式的设备</t>
  </si>
  <si>
    <t>W·陈|P·盖尔|T·罗|J·蒙托约</t>
  </si>
  <si>
    <t>2016/12/28</t>
  </si>
  <si>
    <t>CN200610030134.3</t>
  </si>
  <si>
    <t>适用于多音频标准通用滤波器单元的VLSI实现方法</t>
  </si>
  <si>
    <t>刘倩茹|刘佩林</t>
  </si>
  <si>
    <t>刘倩茹</t>
  </si>
  <si>
    <t>2006/08/17</t>
  </si>
  <si>
    <t>H03M  7/30</t>
  </si>
  <si>
    <t>3.50</t>
  </si>
  <si>
    <t>12/212,920</t>
  </si>
  <si>
    <t>Efficient design of MDCT / IMDCT filterbanks for speech and audio coding applications</t>
  </si>
  <si>
    <t>Chivukula; Ravi Kiran|Reznik; Yuriy</t>
  </si>
  <si>
    <t>Chivukula; Ravi Kiran</t>
  </si>
  <si>
    <t>2007/09/19</t>
  </si>
  <si>
    <t>2008/09/18</t>
  </si>
  <si>
    <t>CN200880105922.1</t>
  </si>
  <si>
    <t>用于语音和音频译码应用的MDCT/IMDCT滤波器组的有效设计</t>
  </si>
  <si>
    <t>拉维·基兰·基辅库拉|尤里亚·热兹尼克</t>
  </si>
  <si>
    <t>拉维·基兰·基辅库拉</t>
  </si>
  <si>
    <t>G10L 19/02</t>
  </si>
  <si>
    <t>CN200610029483.3</t>
  </si>
  <si>
    <t>手、眼关系引导的非接触式位置输入系统和方法</t>
  </si>
  <si>
    <t>张之江|董志华|于瀛洁|李纯灿|潘志浩|许丽|周文静|马赫</t>
  </si>
  <si>
    <t>张之江</t>
  </si>
  <si>
    <t>2006/07/28</t>
  </si>
  <si>
    <t>2007/01/31</t>
  </si>
  <si>
    <t>5.72</t>
  </si>
  <si>
    <t>CN200610054395.9</t>
  </si>
  <si>
    <t>基于TD－SCDMA系统的RTK定位方法</t>
  </si>
  <si>
    <t>重庆邮电大学|韩国仁荷大学教产学协力团</t>
  </si>
  <si>
    <t>袁正午|姚雪|夏英|刘兆宏|鱼详训|邹永贵|周鹏|裵海英|葛君伟</t>
  </si>
  <si>
    <t>袁正午</t>
  </si>
  <si>
    <t>2006/06/27</t>
  </si>
  <si>
    <t>5.53</t>
  </si>
  <si>
    <t>14/227,825</t>
  </si>
  <si>
    <t>Demand positioning</t>
  </si>
  <si>
    <t>Ische; Marc Anthony|Hatami; Ahmad|Heshmati; Ardalan|Biacs; Zoltan|Rowitch; Douglas|Farmer; Dominic|Kamarsu; Srigouri|Wu; Jie</t>
  </si>
  <si>
    <t>Ische; Marc Anthony</t>
  </si>
  <si>
    <t>G01S 19/00</t>
  </si>
  <si>
    <t>CN201080025860.0</t>
  </si>
  <si>
    <t>请求式定位</t>
  </si>
  <si>
    <t>M·A·艾斯齐|A·哈塔米|A·赫斯玛蒂|Z·F·比亚克斯|D·N·罗维奇|D·G·法默|S·卡马苏|J·吴</t>
  </si>
  <si>
    <t>M·A·艾斯齐</t>
  </si>
  <si>
    <t>CN200610100526.2</t>
  </si>
  <si>
    <t>使用无线宽带(WiBro)信号的位置测量系统和方法</t>
  </si>
  <si>
    <t>玄文必|丁嬉|金镇湲|洪炫秀|李章揆</t>
  </si>
  <si>
    <t>玄文必</t>
  </si>
  <si>
    <t>2005/07/04</t>
  </si>
  <si>
    <t>2006/07/03</t>
  </si>
  <si>
    <t>0.83</t>
  </si>
  <si>
    <t>12/484,913</t>
  </si>
  <si>
    <t>Real-time data with post-processing</t>
  </si>
  <si>
    <t>Kulik; Victor|Czompo; Joseph</t>
  </si>
  <si>
    <t>Kulik; Victor</t>
  </si>
  <si>
    <t>11/682,830</t>
  </si>
  <si>
    <t>Method for position determination with measurement stitching</t>
  </si>
  <si>
    <t>Riley; Wyatt Thomas|Blackmer; John R.|Farmer; Dominic Gerard|Pon; Rayman Wai</t>
  </si>
  <si>
    <t>Riley; Wyatt Thomas</t>
  </si>
  <si>
    <t>2006/03/06</t>
  </si>
  <si>
    <t>2007/03/06</t>
  </si>
  <si>
    <t>G01S 19/35</t>
  </si>
  <si>
    <t>CN200610052417.8</t>
  </si>
  <si>
    <t>运用于图像编码和视频编码的离散余弦变换方法</t>
  </si>
  <si>
    <t>虞露|张赐勋</t>
  </si>
  <si>
    <t>虞露</t>
  </si>
  <si>
    <t>2007/01/03</t>
  </si>
  <si>
    <t>2.12</t>
  </si>
  <si>
    <t>CN200510061993.4</t>
  </si>
  <si>
    <t>应用于Java操作系统中虚拟机的编译体系实现方法</t>
  </si>
  <si>
    <t>陈天洲|戴红军|陈国兵|胡威|黄域</t>
  </si>
  <si>
    <t>2005/12/14</t>
  </si>
  <si>
    <t>G06F  9/45</t>
  </si>
  <si>
    <t>8.54</t>
  </si>
  <si>
    <t>12/862,560</t>
  </si>
  <si>
    <t>Execution of dynamic languages via metadata extraction</t>
  </si>
  <si>
    <t>Cascaval; Gheorghe Calin|Reshadi; Mehrdad H.</t>
  </si>
  <si>
    <t>Cascaval; Gheorghe Calin</t>
  </si>
  <si>
    <t>2010/01/12</t>
  </si>
  <si>
    <t>CN201180005177.5</t>
  </si>
  <si>
    <t>通过元数据抽取执行动态语言</t>
  </si>
  <si>
    <t>格奥尔基·卡林·卡斯卡沃|迈赫达德·H·瑞舍迪</t>
  </si>
  <si>
    <t>格奥尔基·卡林·卡斯卡沃</t>
  </si>
  <si>
    <t>2011/01/10</t>
  </si>
  <si>
    <t>G06F  9/44</t>
  </si>
  <si>
    <t>CN200410081445.3</t>
  </si>
  <si>
    <t>一种分布式多入多出系统的信号检测方法</t>
  </si>
  <si>
    <t>田斌|唐友喜|孔婷|赵宏志</t>
  </si>
  <si>
    <t>田斌</t>
  </si>
  <si>
    <t>2004/12/10</t>
  </si>
  <si>
    <t>2006/06/14</t>
  </si>
  <si>
    <t>2.67</t>
  </si>
  <si>
    <t>12/535,972</t>
  </si>
  <si>
    <t>Method and apparatus for supporting distributed MIMO in a wireless communication system</t>
  </si>
  <si>
    <t>Hou; Jilei|Montojo; Juan</t>
  </si>
  <si>
    <t>Hou; Jilei</t>
  </si>
  <si>
    <t>2009/08/05</t>
  </si>
  <si>
    <t>12/536,366</t>
  </si>
  <si>
    <t>Method and apparatus for supporting multi-user and single-user MIMO in a wireless communication system</t>
  </si>
  <si>
    <t>Hou; Jilei|Smee; John E.|Malladi; Durga Prasad|Hassanpour Ghady; Navid|Mallik; Siddhartha</t>
  </si>
  <si>
    <t>2008/08/07</t>
  </si>
  <si>
    <t>CN200510057319.9</t>
  </si>
  <si>
    <t>基于压缩传输数据的多个显示器动态视频显示方法</t>
  </si>
  <si>
    <t>重庆大学</t>
  </si>
  <si>
    <t>李平|文玉梅|赵晶</t>
  </si>
  <si>
    <t>李平</t>
  </si>
  <si>
    <t>2005/10/10</t>
  </si>
  <si>
    <t>2006/04/26</t>
  </si>
  <si>
    <t>H04N  9/64</t>
  </si>
  <si>
    <t>CN201180011850.6</t>
  </si>
  <si>
    <t>能够进行增量压缩以及对运动估计和元数据的修改以用于将图像呈现给远程显示器</t>
  </si>
  <si>
    <t>V·R·拉韦恩德朗</t>
  </si>
  <si>
    <t>2010/03/02</t>
  </si>
  <si>
    <t>2011/03/02</t>
  </si>
  <si>
    <t>H04N 19/70</t>
  </si>
  <si>
    <t>CN200510028242.2</t>
  </si>
  <si>
    <t>动态接入编码策略的嵌入式无线编码装置</t>
  </si>
  <si>
    <t>李铭祥|葛建民|韩建国</t>
  </si>
  <si>
    <t>李铭祥</t>
  </si>
  <si>
    <t>2005/07/28</t>
  </si>
  <si>
    <t>1.40</t>
  </si>
  <si>
    <t>CN201180038450.4</t>
  </si>
  <si>
    <t>用于通信网络的动态比特分配</t>
  </si>
  <si>
    <t>C·A·考瑞尔</t>
  </si>
  <si>
    <t>2010/08/03</t>
  </si>
  <si>
    <t>2011/08/02</t>
  </si>
  <si>
    <t>2013/04/24</t>
  </si>
  <si>
    <t>CN200510050176.9</t>
  </si>
  <si>
    <t>一种复杂度可分级的模式选择方法</t>
  </si>
  <si>
    <t>卜佳俊|陈纯|娄水勇|杨智</t>
  </si>
  <si>
    <t>卜佳俊</t>
  </si>
  <si>
    <t>2005/06/20</t>
  </si>
  <si>
    <t>2005/11/09</t>
  </si>
  <si>
    <t>18.86</t>
  </si>
  <si>
    <t>CN200780003809.8</t>
  </si>
  <si>
    <t>视频编码</t>
  </si>
  <si>
    <t>拉戈哈文德拉·C·纳加拉杰|王凯|纳伦德拉纳特·马拉亚特</t>
  </si>
  <si>
    <t>2006/02/09</t>
  </si>
  <si>
    <t>2007/02/08</t>
  </si>
  <si>
    <t>CN200780046886.1</t>
  </si>
  <si>
    <t>使用其它编码模式的信息的编码模式选择</t>
  </si>
  <si>
    <t>维诺德·考希克</t>
  </si>
  <si>
    <t>2006/12/22</t>
  </si>
  <si>
    <t>2007/12/22</t>
  </si>
  <si>
    <t>2013/12/11</t>
  </si>
  <si>
    <t>CN200510056536.6</t>
  </si>
  <si>
    <t>使用频率交错的多载波码分多址系统的导频信道估计方法</t>
  </si>
  <si>
    <t>曹泳甫|洪大植|卢湘旼|黄讚洙|郑在学</t>
  </si>
  <si>
    <t>曹泳甫</t>
  </si>
  <si>
    <t>2004/01/16</t>
  </si>
  <si>
    <t>2005/01/14</t>
  </si>
  <si>
    <t>2005/11/02</t>
  </si>
  <si>
    <t>12/338,901</t>
  </si>
  <si>
    <t>Methods and apparatus for position location in a wireless network</t>
  </si>
  <si>
    <t>Mukkavilli; Krishna Kiran|Ling; Fuyun|Walker; Gordon Kent|Chari; Murali Ramaswamy</t>
  </si>
  <si>
    <t>Mukkavilli; Krishna Kiran</t>
  </si>
  <si>
    <t>2006/01/04</t>
  </si>
  <si>
    <t>2008/12/18</t>
  </si>
  <si>
    <t>1.33</t>
  </si>
  <si>
    <t>13/771,039</t>
  </si>
  <si>
    <t>CN200410016830.X</t>
  </si>
  <si>
    <t>适合数字媒体发布业务的网络结构与传输方法</t>
  </si>
  <si>
    <t>邢卫|鲁东明</t>
  </si>
  <si>
    <t>邢卫</t>
  </si>
  <si>
    <t>2004/03/10</t>
  </si>
  <si>
    <t>2005/09/14</t>
  </si>
  <si>
    <t>H04L 12/54</t>
  </si>
  <si>
    <t>CN201080055998.5</t>
  </si>
  <si>
    <t>一种用于从媒体服务器供给媒体的方法、设备和装置</t>
  </si>
  <si>
    <t>V·R·拉维德兰|S·V·谢斯|X·罗|P·K·伯汉米迪帕提</t>
  </si>
  <si>
    <t>2009/12/04</t>
  </si>
  <si>
    <t>2010/12/05</t>
  </si>
  <si>
    <t>移动媒体服务器</t>
  </si>
  <si>
    <t>CN200510049002.0</t>
  </si>
  <si>
    <t>视频或图像去块滤波的方法和装置</t>
  </si>
  <si>
    <t>虞露|易峰|董洁</t>
  </si>
  <si>
    <t>2005/01/31</t>
  </si>
  <si>
    <t>2005/08/10</t>
  </si>
  <si>
    <t>H04N  7/50</t>
  </si>
  <si>
    <t>15.32</t>
  </si>
  <si>
    <t>CN200680046066.8</t>
  </si>
  <si>
    <t>用于视频编码的选择性去块滤波技术</t>
  </si>
  <si>
    <t>滕佳缘|沙拉特·曼朱纳特|叶琰</t>
  </si>
  <si>
    <t>滕佳缘</t>
  </si>
  <si>
    <t>2005/10/18</t>
  </si>
  <si>
    <t>2006/10/18</t>
  </si>
  <si>
    <t>CN201280048962.3</t>
  </si>
  <si>
    <t>执行相依于变换的解块滤波的方法和装置</t>
  </si>
  <si>
    <t>格尔特·范德奥维拉|瑞珍·雷克斯曼·乔许|马尔塔·卡切维奇</t>
  </si>
  <si>
    <t>格尔特·范德奥维拉</t>
  </si>
  <si>
    <t>2011/10/07</t>
  </si>
  <si>
    <t>H04N 19/86</t>
  </si>
  <si>
    <t>CN200410101340.X</t>
  </si>
  <si>
    <t>移动IP突发流量的缓解调节方法</t>
  </si>
  <si>
    <t>李昕|金跃辉|陈山枝|胡博|王飞</t>
  </si>
  <si>
    <t>李昕</t>
  </si>
  <si>
    <t>2004/12/17</t>
  </si>
  <si>
    <t>5.23</t>
  </si>
  <si>
    <t>12/758,259</t>
  </si>
  <si>
    <t>Wireless data communications employing IP flow mobility</t>
  </si>
  <si>
    <t>Cherian; George|Wang; Jun|Giaretta; Gerardo</t>
  </si>
  <si>
    <t>Cherian; George</t>
  </si>
  <si>
    <t>2009/04/17</t>
  </si>
  <si>
    <t>H04W 36/24</t>
  </si>
  <si>
    <t>CN201080023676.2</t>
  </si>
  <si>
    <t>采用IP流移动性的无线数据通信</t>
  </si>
  <si>
    <t>G·谢里安|王俊|G·贾雷塔</t>
  </si>
  <si>
    <t>G·谢里安</t>
  </si>
  <si>
    <t>2010/04/16</t>
  </si>
  <si>
    <t>1.44</t>
  </si>
  <si>
    <t>CN200410084740.4</t>
  </si>
  <si>
    <t>具有自动增益控制功能的音量自动限幅装置</t>
  </si>
  <si>
    <t>龙沪强|方向忠</t>
  </si>
  <si>
    <t>龙沪强</t>
  </si>
  <si>
    <t>2004/12/02</t>
  </si>
  <si>
    <t>2005/05/11</t>
  </si>
  <si>
    <t>H03G</t>
  </si>
  <si>
    <t>H03G  3/20</t>
  </si>
  <si>
    <t>30.52</t>
  </si>
  <si>
    <t>12/116,155</t>
  </si>
  <si>
    <t>AGC for slicer-based low power demodulator</t>
  </si>
  <si>
    <t>Lee; Chong U.|Ekbal; Amal|Julian; David Jonathan|Shi; Jun</t>
  </si>
  <si>
    <t>Lee; Chong U.</t>
  </si>
  <si>
    <t>2008/05/06</t>
  </si>
  <si>
    <t>CN200880128960.9</t>
  </si>
  <si>
    <t>基于限幅器的低功率解调器的自动增益控制</t>
  </si>
  <si>
    <t>重·U·李|阿迈勒·埃克贝尔|戴维·乔纳森·朱利安|施军</t>
  </si>
  <si>
    <t>重·U·李</t>
  </si>
  <si>
    <t>2008/05/08</t>
  </si>
  <si>
    <t>2013/11/20</t>
  </si>
  <si>
    <t>CN200410026400.6</t>
  </si>
  <si>
    <t>用于突发通信的数据均衡方法</t>
  </si>
  <si>
    <t>李赞|常义林|蔡觉平|金力军</t>
  </si>
  <si>
    <t>李赞</t>
  </si>
  <si>
    <t>2004/08/16</t>
  </si>
  <si>
    <t>2005/03/23</t>
  </si>
  <si>
    <t>H04L 27/01</t>
  </si>
  <si>
    <t>CN201080040613.8</t>
  </si>
  <si>
    <t>基于有效载荷差组合判决度量以用于解码</t>
  </si>
  <si>
    <t>K·刘|K·宋|罗涛|魏永斌</t>
  </si>
  <si>
    <t>K·刘</t>
  </si>
  <si>
    <t>2009/09/14</t>
  </si>
  <si>
    <t>2010/09/13</t>
  </si>
  <si>
    <t>CN200410046234.6</t>
  </si>
  <si>
    <t>一种基于Turbo编解码的数字信息抗干扰软加密方法及系统</t>
  </si>
  <si>
    <t>肖扬|谢玉明</t>
  </si>
  <si>
    <t>肖扬</t>
  </si>
  <si>
    <t>2004/06/07</t>
  </si>
  <si>
    <t>H04K  1/00</t>
  </si>
  <si>
    <t>2.84</t>
  </si>
  <si>
    <t>CN201080046046.7</t>
  </si>
  <si>
    <t>LTETURBO解码器的采用二次置换多项式交织器的无竞争存储设计</t>
  </si>
  <si>
    <t>H·潘|魏永斌</t>
  </si>
  <si>
    <t>H·潘</t>
  </si>
  <si>
    <t>2009/10/29</t>
  </si>
  <si>
    <t>2010/10/29</t>
  </si>
  <si>
    <t>LTE TURBO解码器的采用二次置换多项式交织器的无竞争存储设计</t>
  </si>
  <si>
    <t>CN200410003499.8</t>
  </si>
  <si>
    <t>正交频分复用数字接收装置</t>
  </si>
  <si>
    <t>倪祖耀|陆建华|裴玉奎</t>
  </si>
  <si>
    <t>倪祖耀</t>
  </si>
  <si>
    <t>2004/04/02</t>
  </si>
  <si>
    <t>12/968,196</t>
  </si>
  <si>
    <t>Single-burst acquisition for wireless communication system</t>
  </si>
  <si>
    <t>Wallace; Mark S.|Ketchum; John W.|Walton; Jay Rodney|Howard; Steven J.</t>
  </si>
  <si>
    <t>Wallace; Mark S.</t>
  </si>
  <si>
    <t>2010/12/14</t>
  </si>
  <si>
    <t>CN201110212961.5</t>
  </si>
  <si>
    <t>用于无线通信系统的单阵发捕获</t>
  </si>
  <si>
    <t>M·S·华莱仕|J·W·凯淳|J·R·沃尔顿|S·J·霍华德</t>
  </si>
  <si>
    <t>2014/08/27</t>
  </si>
  <si>
    <t>CN200410000741.6</t>
  </si>
  <si>
    <t>基于预测方向校正/统计预判的快速亚象素运动估计方法</t>
  </si>
  <si>
    <t>清华大学|上海广电（集团）有限公司</t>
  </si>
  <si>
    <t>清华大学|上海广电集团有限公司</t>
  </si>
  <si>
    <t>何芸|陈志波</t>
  </si>
  <si>
    <t>2002/07/12</t>
  </si>
  <si>
    <t>2004/11/10</t>
  </si>
  <si>
    <t>0.97</t>
  </si>
  <si>
    <t>12/952,729</t>
  </si>
  <si>
    <t>Object-based transport protocol</t>
  </si>
  <si>
    <t>Watson; Mark|Vicisano; Lorenzo|Wang; Bin|Chen; Shuzhen|Pakzad; Payam|Das; Saumitra Mohan|Gupta; Rajarshi</t>
  </si>
  <si>
    <t>12/945,170</t>
  </si>
  <si>
    <t>Adaptive motion resolution for video coding</t>
  </si>
  <si>
    <t>Chien; Wei-Jung|Karczewicz; Marta|Chen; Peisong</t>
  </si>
  <si>
    <t>2010/11/12</t>
  </si>
  <si>
    <t>CN200310111437.4</t>
  </si>
  <si>
    <t>一种身份认证的方法和系统</t>
  </si>
  <si>
    <t>金海|黄琛|吴松|冉龙波|王志平|陈勇</t>
  </si>
  <si>
    <t>金海</t>
  </si>
  <si>
    <t>2003/11/24</t>
  </si>
  <si>
    <t>35.25</t>
  </si>
  <si>
    <t>11/361,230</t>
  </si>
  <si>
    <t>Trusted code groups</t>
  </si>
  <si>
    <t>Lundblade; Laurence|Kelley; Brian Harold|Hohlfeld; Matthew</t>
  </si>
  <si>
    <t>Lundblade; Laurence</t>
  </si>
  <si>
    <t>2006/02/23</t>
  </si>
  <si>
    <t>0.53</t>
  </si>
  <si>
    <t>CN200780005812.3</t>
  </si>
  <si>
    <t>可信代码群组</t>
  </si>
  <si>
    <t>劳伦斯·伦德布拉德|布赖恩·哈罗德·凯利|马修·霍尔菲尔德</t>
  </si>
  <si>
    <t>劳伦斯·伦德布拉德</t>
  </si>
  <si>
    <t>2007/02/23</t>
  </si>
  <si>
    <t>CN02159583.6</t>
  </si>
  <si>
    <t>以太网无源光网络系统中弹性保护倒换的方法和设备</t>
  </si>
  <si>
    <t>北京邮电大学|北京格林威尔科技发展有限公司</t>
  </si>
  <si>
    <t>陈雪|孙曙和|邓羽|刘冬|盖鹏飞|杨国权|王国海</t>
  </si>
  <si>
    <t>陈雪</t>
  </si>
  <si>
    <t>2002/12/31</t>
  </si>
  <si>
    <t>2004/07/14</t>
  </si>
  <si>
    <t>H04B 10/08</t>
  </si>
  <si>
    <t>19.53</t>
  </si>
  <si>
    <t>13/875,990</t>
  </si>
  <si>
    <t>Physical-layer channel bonding</t>
  </si>
  <si>
    <t>Shellhammer; Stephen J.|Stupar; Patrick|Varanese; Nicola|Garavaglia; Andrea|Montojo; Juan|Pietsch; Christian</t>
  </si>
  <si>
    <t>Shellhammer; Stephen J.</t>
  </si>
  <si>
    <t>2013/01/03</t>
  </si>
  <si>
    <t>2013/05/02</t>
  </si>
  <si>
    <t>H04B 10/27</t>
  </si>
  <si>
    <t>PCT/CN2012/08329.9</t>
  </si>
  <si>
    <t>Coordination of physical layer channel bonding</t>
  </si>
  <si>
    <t>Patrick Stupar|Andrea Garavaglia|Nicola Varanese|Juan Montojo|Christian Pietsch|Honger NIE</t>
  </si>
  <si>
    <t>Patrick Stupar</t>
  </si>
  <si>
    <t>2014/05/01</t>
  </si>
  <si>
    <t>CN02148511.9</t>
  </si>
  <si>
    <t>用于MIPv6的鲁棒性头标压缩／解压方法</t>
  </si>
  <si>
    <t>洪佩琳|李津生|李蕾|王辉</t>
  </si>
  <si>
    <t>洪佩琳</t>
  </si>
  <si>
    <t>2002/12/09</t>
  </si>
  <si>
    <t>2004/06/23</t>
  </si>
  <si>
    <t>21.25</t>
  </si>
  <si>
    <t>CN200580042110.3</t>
  </si>
  <si>
    <t>用于在稳健报头压缩中增强本地修复的方法和系统</t>
  </si>
  <si>
    <t>P·A·阿格舍|J·海彭|R·卡珀</t>
  </si>
  <si>
    <t>P·A·阿格舍</t>
  </si>
  <si>
    <t>2004/12/08</t>
  </si>
  <si>
    <t>2005/12/07</t>
  </si>
  <si>
    <t>CN200780010553.3</t>
  </si>
  <si>
    <t>用于在稳健标头压缩中加强局部修复的方法和系统</t>
  </si>
  <si>
    <t>罗希特·卡普尔</t>
  </si>
  <si>
    <t>2006/05/04</t>
  </si>
  <si>
    <t>2007/05/03</t>
  </si>
  <si>
    <t>CN03134474.7</t>
  </si>
  <si>
    <t>增强型精细粒度可伸缩视频编码结构</t>
  </si>
  <si>
    <t>郭宝龙|丁贵广</t>
  </si>
  <si>
    <t>郭宝龙</t>
  </si>
  <si>
    <t>2004/03/24</t>
  </si>
  <si>
    <t>CN200780010633.9</t>
  </si>
  <si>
    <t>用于在视频压缩中进行精细化系数编码的方法及系统</t>
  </si>
  <si>
    <t>叶琰|鲍易亮</t>
  </si>
  <si>
    <t>2006/03/27</t>
  </si>
  <si>
    <t>2007/03/26</t>
  </si>
  <si>
    <t>TW096110564</t>
  </si>
  <si>
    <t>视讯压缩中用于精化系数编码之方法及系统</t>
  </si>
  <si>
    <t>叶琰|包宜蓝</t>
  </si>
  <si>
    <t>2013/04/11</t>
  </si>
  <si>
    <t>CN03148160.4</t>
  </si>
  <si>
    <t>一种基于预测块组的采用帧内预测的帧内编码帧编码方法</t>
  </si>
  <si>
    <t>何芸|朱刚|李国平</t>
  </si>
  <si>
    <t>2003/07/04</t>
  </si>
  <si>
    <t>2004/02/18</t>
  </si>
  <si>
    <t>14.33</t>
  </si>
  <si>
    <t>13/608,380</t>
  </si>
  <si>
    <t>Non-square transform units and prediction units in video coding</t>
  </si>
  <si>
    <t>Wang; Xianglin|Karczewicz; Marta|Guo; Liwei</t>
  </si>
  <si>
    <t>Wang; Xianglin</t>
  </si>
  <si>
    <t>CN200680006508.6</t>
  </si>
  <si>
    <t>用于帧内预测视频编码的模式选择方法及设备</t>
  </si>
  <si>
    <t>易亮|斯蒂芬·莫洛伊</t>
  </si>
  <si>
    <t>易亮</t>
  </si>
  <si>
    <t>2005/01/13</t>
  </si>
  <si>
    <t>2006/01/13</t>
  </si>
  <si>
    <t>2014/11/12</t>
  </si>
  <si>
    <t>H04N 19/11</t>
  </si>
  <si>
    <t>CN03129380.8</t>
  </si>
  <si>
    <t>智能报靶定位系统</t>
  </si>
  <si>
    <t>田春|汪鸿振</t>
  </si>
  <si>
    <t>田春</t>
  </si>
  <si>
    <t>2003/06/19</t>
  </si>
  <si>
    <t>2003/12/24</t>
  </si>
  <si>
    <t>F41J</t>
  </si>
  <si>
    <t>F41J  5/06</t>
  </si>
  <si>
    <t>14.64</t>
  </si>
  <si>
    <t>12/531,075</t>
  </si>
  <si>
    <t>MEMS microphone</t>
  </si>
  <si>
    <t>Altman; Nathan|Raif; Ran|Kedem; Noam</t>
  </si>
  <si>
    <t>Altman; Nathan</t>
  </si>
  <si>
    <t>2008/03/14</t>
  </si>
  <si>
    <t>H04R 19/00</t>
  </si>
  <si>
    <t>CN201310339367.1</t>
  </si>
  <si>
    <t>MEMS传声器</t>
  </si>
  <si>
    <t>N.艾特曼|R.赖夫|N.克德姆</t>
  </si>
  <si>
    <t>N.艾特曼</t>
  </si>
  <si>
    <t>G06F  3/043</t>
  </si>
  <si>
    <t>CN03116913.9</t>
  </si>
  <si>
    <t>采用双指令集的32位嵌入式微处理器</t>
  </si>
  <si>
    <t>徐科|王文婷|忻凌|闵昊|周晓方|顾沧海</t>
  </si>
  <si>
    <t>徐科</t>
  </si>
  <si>
    <t>2003/05/15</t>
  </si>
  <si>
    <t>G06F  9/30</t>
  </si>
  <si>
    <t>CN201110378670.3</t>
  </si>
  <si>
    <t>预解码可变长度指令</t>
  </si>
  <si>
    <t>罗德尼·韦恩·史密斯|布赖恩·迈克尔·斯坦普尔</t>
  </si>
  <si>
    <t>罗德尼·韦恩·史密斯</t>
  </si>
  <si>
    <t>2007/04/20</t>
  </si>
  <si>
    <t>CN200780029330.1</t>
  </si>
  <si>
    <t>比较处理器指令集操作模式的调试电路</t>
  </si>
  <si>
    <t>凯文·查尔斯·伯克|布莱恩·迈克尔·斯坦普尔|达朗·欧仁·施特雷特|凯文·艾伦·萨普|莱斯利·马克·德布鲁因|纳比勒·阿米尔·里兹克|托马斯·安德鲁·萨托里乌斯|罗德尼·韦恩·史密斯</t>
  </si>
  <si>
    <t>凯文·查尔斯·伯克</t>
  </si>
  <si>
    <t>2006/08/09</t>
  </si>
  <si>
    <t>2007/08/03</t>
  </si>
  <si>
    <t>G06F 11/36</t>
  </si>
  <si>
    <t>CN03121939.X</t>
  </si>
  <si>
    <t>一种和RS码等效的编码以及其快速编译码的算法</t>
  </si>
  <si>
    <t>赵明|张秀军|姚熠飞|周世东|王京|姚彦</t>
  </si>
  <si>
    <t>赵明</t>
  </si>
  <si>
    <t>2003/04/18</t>
  </si>
  <si>
    <t>2003/10/08</t>
  </si>
  <si>
    <t>2.87</t>
  </si>
  <si>
    <t>CN200910056945.4</t>
  </si>
  <si>
    <t>里德-索罗蒙解码器实现方法</t>
  </si>
  <si>
    <t>王星|李东川|胡新宇</t>
  </si>
  <si>
    <t>王星</t>
  </si>
  <si>
    <t>CN02156677.1</t>
  </si>
  <si>
    <t>2.3kb/s谐波激励线性预测语音编码方法</t>
  </si>
  <si>
    <t>2002/12/19</t>
  </si>
  <si>
    <t>2003/06/18</t>
  </si>
  <si>
    <t>15.10</t>
  </si>
  <si>
    <t>CN200680018149.6</t>
  </si>
  <si>
    <t>用于宽频带语音编码的系统、方法和设备</t>
  </si>
  <si>
    <t>科恩·贝尔纳德·福斯|阿南塔帕德马纳卜汉·A·坎达达伊</t>
  </si>
  <si>
    <t>科恩·贝尔纳德·福斯</t>
  </si>
  <si>
    <t>2006/04/03</t>
  </si>
  <si>
    <t>2011/02/09</t>
  </si>
  <si>
    <t>CN200680018140.5</t>
  </si>
  <si>
    <t>用于谱包络表示的向量量化的方法和设备</t>
  </si>
  <si>
    <t>G10L 19/06</t>
  </si>
  <si>
    <t>CN02142057.2</t>
  </si>
  <si>
    <t>用于减小电源转换器中的噪声电流的装置</t>
  </si>
  <si>
    <t>香港大学</t>
  </si>
  <si>
    <t>廖柱帮|潘毅杰|庞敏熙</t>
  </si>
  <si>
    <t>廖柱帮</t>
  </si>
  <si>
    <t>2001/08/24</t>
  </si>
  <si>
    <t>2002/08/24</t>
  </si>
  <si>
    <t>2003/04/02</t>
  </si>
  <si>
    <t>H02M  3/335</t>
  </si>
  <si>
    <t>4.38</t>
  </si>
  <si>
    <t>13/474,498</t>
  </si>
  <si>
    <t>Apparatus and method for implementing a differential drive amplifier and a coil arrangement</t>
  </si>
  <si>
    <t>Mayo; Gabriel I.|Tseng; Ryan</t>
  </si>
  <si>
    <t>Mayo; Gabriel I.</t>
  </si>
  <si>
    <t>2009/12/07</t>
  </si>
  <si>
    <t>2012/05/17</t>
  </si>
  <si>
    <t>H01F 38/00</t>
  </si>
  <si>
    <t>CN201080055444.5</t>
  </si>
  <si>
    <t>用于实施差分驱动放大器及线圈布置的设备及方法</t>
  </si>
  <si>
    <t>瑞安·曾|加布里埃尔·梅奥</t>
  </si>
  <si>
    <t>瑞安·曾</t>
  </si>
  <si>
    <t>2010/12/07</t>
  </si>
  <si>
    <t>CN02137617.4</t>
  </si>
  <si>
    <t>正交频分复用系统的突发信号检测和自动增益控制方法</t>
  </si>
  <si>
    <t>周军|丁颢|周跃峰|罗汉文|宋文涛</t>
  </si>
  <si>
    <t>周军</t>
  </si>
  <si>
    <t>2002/10/24</t>
  </si>
  <si>
    <t>2003/03/19</t>
  </si>
  <si>
    <t>H04N  7/015</t>
  </si>
  <si>
    <t>9.81</t>
  </si>
  <si>
    <t>CN200480020063.8</t>
  </si>
  <si>
    <t>OFDM系统中的功率控制和调度</t>
  </si>
  <si>
    <t>艾曼·福贾·纳吉布|阿维尼施·阿格拉瓦尔|阿拉克·苏蒂翁</t>
  </si>
  <si>
    <t>艾曼·福贾·纳吉布</t>
  </si>
  <si>
    <t>2003/05/14</t>
  </si>
  <si>
    <t>2004/05/14</t>
  </si>
  <si>
    <t>2009/07/22</t>
  </si>
  <si>
    <t>CN201080004237.7</t>
  </si>
  <si>
    <t>无线通信网络中对基于OFDM的传输的自动增益控制(AGC)</t>
  </si>
  <si>
    <t>李君易|V·帕里斯基|F·A·兰恩|A·约维契奇|Y·王</t>
  </si>
  <si>
    <t>李君易</t>
  </si>
  <si>
    <t>2009/01/28</t>
  </si>
  <si>
    <t>2010/01/27</t>
  </si>
  <si>
    <t>2015/08/05</t>
  </si>
  <si>
    <t>CN02141768.7</t>
  </si>
  <si>
    <t>掌上声纹验证系统</t>
  </si>
  <si>
    <t>吴朝晖|杨莹春|马志友</t>
  </si>
  <si>
    <t>2002/09/06</t>
  </si>
  <si>
    <t>G06F 17/00</t>
  </si>
  <si>
    <t>13/076,241</t>
  </si>
  <si>
    <t>Continuous voice authentication for a mobile device</t>
  </si>
  <si>
    <t>Johnsgard; Todd J.|Siu; Ta-yan|Shi; Guangming</t>
  </si>
  <si>
    <t>Johnsgard; Todd J.</t>
  </si>
  <si>
    <t>2011/03/30</t>
  </si>
  <si>
    <t>G10L 17/00</t>
  </si>
  <si>
    <t>CN201280016353.X</t>
  </si>
  <si>
    <t>对移动设备的持续语音认证的方法和系统</t>
  </si>
  <si>
    <t>T·J·约翰斯加尔德|T·苏|G·史</t>
  </si>
  <si>
    <t>T·J·约翰斯加尔德</t>
  </si>
  <si>
    <t>2012/03/30</t>
  </si>
  <si>
    <t>CN02131335.0</t>
  </si>
  <si>
    <t>基于网络处理器平台实现的动态部分缓冲共享方法</t>
  </si>
  <si>
    <t>林闯|李寅</t>
  </si>
  <si>
    <t>林闯</t>
  </si>
  <si>
    <t>2002/09/29</t>
  </si>
  <si>
    <t>2003/03/12</t>
  </si>
  <si>
    <t>7.37</t>
  </si>
  <si>
    <t>CN200980130157.3</t>
  </si>
  <si>
    <t>在无线通信系统中用于基于定时器的丢弃的高效分组处理</t>
  </si>
  <si>
    <t>V·A·库马尔|B·秋|A·拉伊钠|S·马赫什瓦里|G·A·肖|Y·S·高达</t>
  </si>
  <si>
    <t>V·A·库马尔</t>
  </si>
  <si>
    <t>H04L 12/70</t>
  </si>
  <si>
    <t>CN201410050939.9</t>
  </si>
  <si>
    <t>用于在无线通信系统中对分组进行高效处理的方法和装置</t>
  </si>
  <si>
    <t>H04W 28/06</t>
  </si>
  <si>
    <t>CN02114546.6</t>
  </si>
  <si>
    <t>高速视频处理接口控制器及其设计方法</t>
  </si>
  <si>
    <t>郑南宁|吴勇</t>
  </si>
  <si>
    <t>郑南宁</t>
  </si>
  <si>
    <t>2002/04/27</t>
  </si>
  <si>
    <t>2002/10/30</t>
  </si>
  <si>
    <t>G06F  3/00</t>
  </si>
  <si>
    <t>4.87</t>
  </si>
  <si>
    <t>CN200580014754.1</t>
  </si>
  <si>
    <t>具有改进链路同步的高数据速率接口</t>
  </si>
  <si>
    <t>乔恩·詹姆斯·安德森|布赖恩·斯蒂尔|乔治·A·威利|沙尚克·谢卡尔</t>
  </si>
  <si>
    <t>乔恩·詹姆斯·安德森</t>
  </si>
  <si>
    <t>CN201010158643.0</t>
  </si>
  <si>
    <t>CN02100457.9</t>
  </si>
  <si>
    <t>低峰值平均功率比的时域同步正交频分复用调制方法</t>
  </si>
  <si>
    <t>2002/02/01</t>
  </si>
  <si>
    <t>2002/09/04</t>
  </si>
  <si>
    <t>25.63</t>
  </si>
  <si>
    <t>11/672,854</t>
  </si>
  <si>
    <t>Spectral shaping to reduce peak-to-average ratio in wireless communication</t>
  </si>
  <si>
    <t>Kim; Byoung-Hoon|Mailadi; Durga Prasad</t>
  </si>
  <si>
    <t>Kim; Byoung-Hoon</t>
  </si>
  <si>
    <t>CN200610084158.7</t>
  </si>
  <si>
    <t>在无线通信系统中多路复用数据和控制信息的方法和系统</t>
  </si>
  <si>
    <t>赵俊暎|李周镐|权桓准|曹玧沃</t>
  </si>
  <si>
    <t>赵俊暎</t>
  </si>
  <si>
    <t>2005/05/03</t>
  </si>
  <si>
    <t>2006/05/08</t>
  </si>
  <si>
    <t>CN01136253.7</t>
  </si>
  <si>
    <t>采用电压补偿的直流/直流开关电源软启动电路</t>
  </si>
  <si>
    <t>李永明|陈弘毅|王海永</t>
  </si>
  <si>
    <t>李永明</t>
  </si>
  <si>
    <t>2001/10/12</t>
  </si>
  <si>
    <t>2002/05/01</t>
  </si>
  <si>
    <t>H02M  3/00</t>
  </si>
  <si>
    <t>12/181,672</t>
  </si>
  <si>
    <t>High signal level compliant input/output circuits</t>
  </si>
  <si>
    <t>Shankar; Vijay|Gupta; Abheek|Srinivas; Vaishnav|Mohan; Vivek</t>
  </si>
  <si>
    <t>Shankar; Vijay</t>
  </si>
  <si>
    <t>2008/07/29</t>
  </si>
  <si>
    <t>H03L  5/00</t>
  </si>
  <si>
    <t>CN200980126571.7</t>
  </si>
  <si>
    <t>顺应高信号电平的输入/输出电路</t>
  </si>
  <si>
    <t>维贾伊·尚卡尔|阿贝克·古普塔|瓦伊什纳瓦·斯里尼瓦斯|维韦卡·莫汉</t>
  </si>
  <si>
    <t>维贾伊·尚卡尔</t>
  </si>
  <si>
    <t>H03K 19/00</t>
  </si>
  <si>
    <t>CN01135535.2</t>
  </si>
  <si>
    <t>微波介质陶瓷及其制备方法</t>
  </si>
  <si>
    <t>陈湘明|李怡</t>
  </si>
  <si>
    <t>陈湘明</t>
  </si>
  <si>
    <t>2001/10/10</t>
  </si>
  <si>
    <t>2002/04/03</t>
  </si>
  <si>
    <t>C04B</t>
  </si>
  <si>
    <t>C04B 35/46</t>
  </si>
  <si>
    <t>5.22</t>
  </si>
  <si>
    <t>CN201180015226.3</t>
  </si>
  <si>
    <t>受中继器辅助的宏网络覆盖管理</t>
  </si>
  <si>
    <t>E·S·埃斯特韦斯|D·A·高尔|M·A·玛卡加尼</t>
  </si>
  <si>
    <t>E·S·埃斯特韦斯</t>
  </si>
  <si>
    <t>H04W 16/26</t>
  </si>
  <si>
    <t>CN98801824.1</t>
  </si>
  <si>
    <t>多媒体数据的防错方法</t>
  </si>
  <si>
    <t>三星电子株式会社|加利福尼亚大学董事会</t>
  </si>
  <si>
    <t>三星电子株式会社|加利福尼亚大学</t>
  </si>
  <si>
    <t>朴东植|约翰·维拉塞纳|陈风|布伦达·道林|马克斯·勒特雷尔</t>
  </si>
  <si>
    <t>朴东植</t>
  </si>
  <si>
    <t>1998/01/12</t>
  </si>
  <si>
    <t>2000/02/02</t>
  </si>
  <si>
    <t>5.73</t>
  </si>
  <si>
    <t>13/364,938</t>
  </si>
  <si>
    <t>Method and apparatus for time efficient retransmission using symbol accumulation</t>
  </si>
  <si>
    <t>Chen; Tao|Odenwalder; Joseph P.|Tiedemann, Jr.; Edward G.|Willenegger; Serge</t>
  </si>
  <si>
    <t>Chen; Tao</t>
  </si>
  <si>
    <t>1997/11/13</t>
  </si>
  <si>
    <t>2013/05/07</t>
  </si>
  <si>
    <t>CN200410083431.5</t>
  </si>
  <si>
    <t>应用码元累积实现有效再次发射的方法和设备</t>
  </si>
  <si>
    <t>陈道|J·P·奥登沃尔德|小E·G·蒂德曼|S·威伦艾格</t>
  </si>
  <si>
    <t>陈道</t>
  </si>
  <si>
    <t>1998/11/12</t>
  </si>
  <si>
    <t>CN94118837.X</t>
  </si>
  <si>
    <t>超高速取样测试误码的方法及其测试仪</t>
  </si>
  <si>
    <t>杨知行|阳辉|柴燕杰</t>
  </si>
  <si>
    <t>杨知行</t>
  </si>
  <si>
    <t>1994/12/09</t>
  </si>
  <si>
    <t>1996/01/31</t>
  </si>
  <si>
    <t>H04L  1/20</t>
  </si>
  <si>
    <t>14/105,213</t>
  </si>
  <si>
    <t>High speed data testing without high speed bit clock</t>
  </si>
  <si>
    <t>Li; Miao|Kong; Xiaohua|Dang; Nam Van|Zhong; Cheng</t>
  </si>
  <si>
    <t>Li; Miao</t>
  </si>
  <si>
    <t>2013/12/13</t>
  </si>
  <si>
    <t>G06F 11/30</t>
  </si>
  <si>
    <t>CN201280036494.8</t>
  </si>
  <si>
    <t>在没有高速位时钟情况下的高速数据测试</t>
  </si>
  <si>
    <t>妙·李|孔小华|南·V·当|钟成</t>
  </si>
  <si>
    <t>妙·李</t>
  </si>
  <si>
    <t>2014/04/02</t>
  </si>
  <si>
    <t>CN201210252192.6</t>
  </si>
  <si>
    <t>电力线和无线混合通信方法及其装置</t>
  </si>
  <si>
    <t>清华大学|北京全电智领科技有限公司</t>
  </si>
  <si>
    <t>杨昉|宋健|张奇|王军|阳辉|李晓</t>
  </si>
  <si>
    <t>杨昉</t>
  </si>
  <si>
    <t>2012/07/19</t>
  </si>
  <si>
    <t>H04B  3/54</t>
  </si>
  <si>
    <t>PCT/US2016/02783.0</t>
  </si>
  <si>
    <t>Dual medium communications</t>
  </si>
  <si>
    <t>Hassan K. AFKHAMI|Purva R. Rajkotia|Deniz Rende</t>
  </si>
  <si>
    <t>Hassan K. AFKHAMI</t>
  </si>
  <si>
    <t>2015/05/11</t>
  </si>
  <si>
    <t>2016/04/15</t>
  </si>
  <si>
    <t>2016/11/17</t>
  </si>
  <si>
    <t>CN201110002648.9</t>
  </si>
  <si>
    <t>高性能宏块编码实现方法</t>
  </si>
  <si>
    <t>宋锐|李云松|仵小波|贾媛|王养利|肖嵩|杜建超|李宏伟|奉玉丽|韩晶晶</t>
  </si>
  <si>
    <t>宋锐</t>
  </si>
  <si>
    <t>PCT/CN2013/00166.2</t>
  </si>
  <si>
    <t>Simplification of delta dc residual coding in 3d video coding</t>
  </si>
  <si>
    <t>Hongbin Liu|Ying Chen|Li Zhang</t>
  </si>
  <si>
    <t>2015/07/09</t>
  </si>
  <si>
    <t>H04N 19/00</t>
  </si>
  <si>
    <t>CN200810153721.0</t>
  </si>
  <si>
    <t>减少容迟网络和间歇连接网络中冗余消息的方法</t>
  </si>
  <si>
    <t>王欣|舒炎泰|金志刚|柴营</t>
  </si>
  <si>
    <t>王欣</t>
  </si>
  <si>
    <t>PCT/US2013/05210.9</t>
  </si>
  <si>
    <t>Delay-tolerant web transaction delegations</t>
  </si>
  <si>
    <t>Kevin Roland Fall|Dilip Krishnaswamy</t>
  </si>
  <si>
    <t>Kevin Roland Fall</t>
  </si>
  <si>
    <t>2013/07/25</t>
  </si>
  <si>
    <t>2014/01/30</t>
  </si>
  <si>
    <t>CN200610023897.5</t>
  </si>
  <si>
    <t>基于非晶FeCuNbCrSiB磁性薄膜的螺线管微电感器件</t>
  </si>
  <si>
    <t>周勇|丁文</t>
  </si>
  <si>
    <t>周勇</t>
  </si>
  <si>
    <t>2006/02/16</t>
  </si>
  <si>
    <t>H01F 17/04</t>
  </si>
  <si>
    <t>PCT/US2014/01990.8</t>
  </si>
  <si>
    <t>Coupled discrete inductor with flux concentration using high permeable material</t>
  </si>
  <si>
    <t>James Thomas Doyle|Arani Amirali Shayan|Farsheed MAHMOUDI</t>
  </si>
  <si>
    <t>James Thomas Doyle</t>
  </si>
  <si>
    <t>2013/03/08</t>
  </si>
  <si>
    <t>2014/03/03</t>
  </si>
  <si>
    <t>2014/09/12</t>
  </si>
  <si>
    <t>H01F 27/36</t>
  </si>
  <si>
    <t>CN201520021827.0</t>
  </si>
  <si>
    <t>一种非接触式功率传输系统</t>
  </si>
  <si>
    <t>王广柱</t>
  </si>
  <si>
    <t>2015/01/13</t>
  </si>
  <si>
    <t>2015/05/06</t>
  </si>
  <si>
    <t>PCT/US2016/03810.6</t>
  </si>
  <si>
    <t>Devices, systems, and methods using reactive power injection for active tuning electric vehicle charging systems</t>
  </si>
  <si>
    <t>Martin Pavlovsky|Felix WEIDNER</t>
  </si>
  <si>
    <t>Martin Pavlovsky</t>
  </si>
  <si>
    <t>2015/06/19</t>
  </si>
  <si>
    <t>2016/06/17</t>
  </si>
  <si>
    <t>H02J 50/12</t>
  </si>
  <si>
    <t>CN201410466887.3</t>
  </si>
  <si>
    <t>一种SAR ADC分段电容失配的校正方法</t>
  </si>
  <si>
    <t>宁宁|王伟|杜翎|汪正锋|吴霜毅|蒋旻|闫小艳</t>
  </si>
  <si>
    <t>宁宁</t>
  </si>
  <si>
    <t>2014/09/15</t>
  </si>
  <si>
    <t>2014/12/24</t>
  </si>
  <si>
    <t>H03M  1/10</t>
  </si>
  <si>
    <t>15/014,865</t>
  </si>
  <si>
    <t>Segmented successive approximation register (SAR) analog-to-digital converter (ADC) with reduced conversion time</t>
  </si>
  <si>
    <t>Rajaee; Omid|Dai; Liang|Kiran; Ganesh</t>
  </si>
  <si>
    <t>Rajaee; Omid</t>
  </si>
  <si>
    <t>H03M  1/12</t>
  </si>
  <si>
    <t>CN201410387847.X</t>
  </si>
  <si>
    <t>可重构微带八木天线</t>
  </si>
  <si>
    <t>肖绍球|马国明|朱伟|王秉中</t>
  </si>
  <si>
    <t>肖绍球</t>
  </si>
  <si>
    <t>2014/08/08</t>
  </si>
  <si>
    <t>2014/11/19</t>
  </si>
  <si>
    <t>H01Q 13/08</t>
  </si>
  <si>
    <t>14/743,377</t>
  </si>
  <si>
    <t>Reconfigurable antenna</t>
  </si>
  <si>
    <t>Farmahini Farahani; Mohsen|Tran; Allen Minh-Triet</t>
  </si>
  <si>
    <t>Farmahini Farahani; Mohsen</t>
  </si>
  <si>
    <t>2015/06/18</t>
  </si>
  <si>
    <t>2016/10/11</t>
  </si>
  <si>
    <t>H01Q  1/00</t>
  </si>
  <si>
    <t>CN201310131421.3</t>
  </si>
  <si>
    <t>一种容三盘失效纠删码的单数据盘失效快速重建方法</t>
  </si>
  <si>
    <t>王芳|冯丹|邱丽娜|李楚</t>
  </si>
  <si>
    <t>王芳</t>
  </si>
  <si>
    <t>2013/04/16</t>
  </si>
  <si>
    <t>G06F 11/16</t>
  </si>
  <si>
    <t>PCT/US2016/03961.7</t>
  </si>
  <si>
    <t>Systems and methods for repair redundancy control for large erasure coded data storage</t>
  </si>
  <si>
    <t>Thomas Joseph Richardson|Michael George LUBY</t>
  </si>
  <si>
    <t>Thomas Joseph Richardson</t>
  </si>
  <si>
    <t>2015/08/28</t>
  </si>
  <si>
    <t>2016/06/27</t>
  </si>
  <si>
    <t>2017/03/09</t>
  </si>
  <si>
    <t>G06F 11/10</t>
  </si>
  <si>
    <t>CN201410293570.4</t>
  </si>
  <si>
    <t>一种基于Spiking神经网络的飞机冲突检测方法</t>
  </si>
  <si>
    <t>屈鸿|杨雪松|潘婷|解修蕊</t>
  </si>
  <si>
    <t>屈鸿</t>
  </si>
  <si>
    <t>2014/06/24</t>
  </si>
  <si>
    <t>G06N  3/02</t>
  </si>
  <si>
    <t>2.41</t>
  </si>
  <si>
    <t>PCT/US2017/01273.0</t>
  </si>
  <si>
    <t>Spiking multi-layer perceptron</t>
  </si>
  <si>
    <t>Peter O'connor|Max Welling</t>
  </si>
  <si>
    <t>Peter O'connor</t>
  </si>
  <si>
    <t>2016/02/04</t>
  </si>
  <si>
    <t>2017/01/09</t>
  </si>
  <si>
    <t>2017/08/10</t>
  </si>
  <si>
    <t>CN201410289374.X</t>
  </si>
  <si>
    <t>一种可进行太阳能跟踪的无人机及其充能过程</t>
  </si>
  <si>
    <t>金陵科技学院</t>
  </si>
  <si>
    <t>杨忠|朱一纶|司海飞|邓平</t>
  </si>
  <si>
    <t>杨忠</t>
  </si>
  <si>
    <t>2014/06/26</t>
  </si>
  <si>
    <t>B64D</t>
  </si>
  <si>
    <t>B64D 27/24</t>
  </si>
  <si>
    <t>0.29</t>
  </si>
  <si>
    <t>14/817,346</t>
  </si>
  <si>
    <t>Opportunistic unmanned autonomous vehicle energy harvesting</t>
  </si>
  <si>
    <t>Ceribelli; Marcelo|Lund; Benjamin|Pearce; Lael</t>
  </si>
  <si>
    <t>Ceribelli; Marcelo</t>
  </si>
  <si>
    <t>G06F 19/00</t>
  </si>
  <si>
    <t>CN201410186582.7</t>
  </si>
  <si>
    <t>具有SiGe沟道的鳍式场效应晶体管及其形成方法</t>
  </si>
  <si>
    <t>王敬|肖磊|梁仁荣|许军</t>
  </si>
  <si>
    <t>王敬</t>
  </si>
  <si>
    <t>2014/05/05</t>
  </si>
  <si>
    <t>H01L 21/336</t>
  </si>
  <si>
    <t>PCT/US2014/06122.6</t>
  </si>
  <si>
    <t>Silicon germanium finfet formation</t>
  </si>
  <si>
    <t>Jeffrey Junhao Xu|Choh Fei Yeap</t>
  </si>
  <si>
    <t>Jeffrey Junhao Xu</t>
  </si>
  <si>
    <t>2013/11/22</t>
  </si>
  <si>
    <t>2014/10/17</t>
  </si>
  <si>
    <t>2015/05/28</t>
  </si>
  <si>
    <t>CN201410153826.1</t>
  </si>
  <si>
    <t>一种基于数字噪声耦合技术的Δ-Σ调制器</t>
  </si>
  <si>
    <t>贺林|张云程|龙芳|林福江</t>
  </si>
  <si>
    <t>贺林</t>
  </si>
  <si>
    <t>2014/07/16</t>
  </si>
  <si>
    <t>H03M  3/00</t>
  </si>
  <si>
    <t>15/049,933</t>
  </si>
  <si>
    <t>Delta-sigma analog-to-digital converter (ADC) with time-interleaved (TI) or two-step successive approximation register (SAR) quantizer</t>
  </si>
  <si>
    <t>Rajaee; Omid|Han; Changsok|Dai; Liang|Mirhaj; Seyed Arash|Kiran; Ganesh</t>
  </si>
  <si>
    <t>2016/02/22</t>
  </si>
  <si>
    <t>CN201410132013.4</t>
  </si>
  <si>
    <t>一种基于分组马尔可夫叠加编码的多码率码编码方法</t>
  </si>
  <si>
    <t>中山大学</t>
  </si>
  <si>
    <t>马啸|胡竞男|梁楚龙|白宝明</t>
  </si>
  <si>
    <t>马啸</t>
  </si>
  <si>
    <t>2014/03/28</t>
  </si>
  <si>
    <t>2014/06/25</t>
  </si>
  <si>
    <t>H03M 13/23</t>
  </si>
  <si>
    <t>1.87</t>
  </si>
  <si>
    <t>PCT/CN2016/09566.1</t>
  </si>
  <si>
    <t>Generation of polar codes with a variable block length utilizing puncturing</t>
  </si>
  <si>
    <t>Changlong Xu|Jian Li|Jilei Hou|Neng Wang</t>
  </si>
  <si>
    <t>Changlong Xu</t>
  </si>
  <si>
    <t>2016/01/25</t>
  </si>
  <si>
    <t>2016/08/17</t>
  </si>
  <si>
    <t>H03M 13/13</t>
  </si>
  <si>
    <t>CN201410085195.4</t>
  </si>
  <si>
    <t>一种应用于高精度逐次逼近模数转换器的数字校准方法</t>
  </si>
  <si>
    <t>赵毅强|戴鹏|赵飞|李雪梅</t>
  </si>
  <si>
    <t>赵毅强</t>
  </si>
  <si>
    <t>2014/03/10</t>
  </si>
  <si>
    <t>2014/06/18</t>
  </si>
  <si>
    <t>CN201320713811.7</t>
  </si>
  <si>
    <t>一种磁感应式无线电能传输设备中的补偿装置</t>
  </si>
  <si>
    <t>西南交通大学</t>
  </si>
  <si>
    <t>麦瑞坤|李勇|何正友|林圣</t>
  </si>
  <si>
    <t>麦瑞坤</t>
  </si>
  <si>
    <t>2014/05/21</t>
  </si>
  <si>
    <t>CN201410014023.8</t>
  </si>
  <si>
    <t>一种无线自组织网络的连通性修复方法</t>
  </si>
  <si>
    <t>哈尔滨工程大学</t>
  </si>
  <si>
    <t>王慧强|温秀秀|冯光升|吕宏武|林俊宇</t>
  </si>
  <si>
    <t>王慧强</t>
  </si>
  <si>
    <t>2014/01/13</t>
  </si>
  <si>
    <t>PCT/CN2014/08813.0</t>
  </si>
  <si>
    <t>Systems and methods for determining a mobility state</t>
  </si>
  <si>
    <t>Jiming Guo|Yibo Jiang|Jianqiang Zhang|Farrukh RASHID|Jafar Mohseni</t>
  </si>
  <si>
    <t>Jiming Guo</t>
  </si>
  <si>
    <t>2014/10/08</t>
  </si>
  <si>
    <t>2016/04/14</t>
  </si>
  <si>
    <t>CN201310487893.2</t>
  </si>
  <si>
    <t>控制非易失性存储器件的控制器以及控制器的操作方法</t>
  </si>
  <si>
    <t>三星电子株式会社|浦项工科大学校产学协力团</t>
  </si>
  <si>
    <t>三星电子株式会社|学校法人浦项工科大学校</t>
  </si>
  <si>
    <t>申东旻|梁景喆|任胜灿|李起准|孔骏镇</t>
  </si>
  <si>
    <t>申东旻</t>
  </si>
  <si>
    <t>2013/10/17</t>
  </si>
  <si>
    <t>G11C 16/02</t>
  </si>
  <si>
    <t>PCT/CN2016/07195.9</t>
  </si>
  <si>
    <t>CN201410014651.6</t>
  </si>
  <si>
    <t>一种视频检索方法和系统</t>
  </si>
  <si>
    <t>中国农业大学</t>
  </si>
  <si>
    <t>杨颖|高万林|陈瑛</t>
  </si>
  <si>
    <t>杨颖</t>
  </si>
  <si>
    <t>PCT/CN2015/09068.4</t>
  </si>
  <si>
    <t>Systems and methods for video processing</t>
  </si>
  <si>
    <t>Ning Bi|Fan Ling|Jingting DING|Yu Sun</t>
  </si>
  <si>
    <t>Ning Bi</t>
  </si>
  <si>
    <t>2017/03/30</t>
  </si>
  <si>
    <t>CN201310750505.5</t>
  </si>
  <si>
    <t>无线全双工多输入多输出通信模拟自干扰信号消除装置</t>
  </si>
  <si>
    <t>王旭东|唐爱民</t>
  </si>
  <si>
    <t>王旭东</t>
  </si>
  <si>
    <t>14/639,673</t>
  </si>
  <si>
    <t>Radio frequency (RF) analog interference cancellation (AIC) with multiple antennas</t>
  </si>
  <si>
    <t>Hwang; Insoo|Song; Bongyong|Nguyen; Cong</t>
  </si>
  <si>
    <t>Hwang; Insoo</t>
  </si>
  <si>
    <t>H04B  1/44</t>
  </si>
  <si>
    <t>CN201310677028.4</t>
  </si>
  <si>
    <t>一种在蜂窝网络和无线局域网之间实现业务无缝切换的方法</t>
  </si>
  <si>
    <t>李勇|王均|刘大志|纪晓东|彭木根|王文博</t>
  </si>
  <si>
    <t>李勇</t>
  </si>
  <si>
    <t>2014/03/26</t>
  </si>
  <si>
    <t>H04W 36/18</t>
  </si>
  <si>
    <t>PCT/US2015/04464.8</t>
  </si>
  <si>
    <t>Aggregation of wlan carriers to lte</t>
  </si>
  <si>
    <t>Arnaud Meylan|Seyed Ali Ahmadzadeh|Sivaramakrishna Veerepalli|Aziz Gholmieh|Gerardo Giaretta|Shailesh Maheshwari|Umang Sureshbhai Patel</t>
  </si>
  <si>
    <t>Arnaud Meylan</t>
  </si>
  <si>
    <t>H04W 88/06</t>
  </si>
  <si>
    <t>CN201310341341.0</t>
  </si>
  <si>
    <t>一种基于运动检测的图像去模糊方法及装置</t>
  </si>
  <si>
    <t>肖力|岳东|孙志刚|王卓|吴庆|卢亮</t>
  </si>
  <si>
    <t>肖力</t>
  </si>
  <si>
    <t>2013/08/07</t>
  </si>
  <si>
    <t>CN201480013946.X</t>
  </si>
  <si>
    <t>用于运动模糊感知视觉位姿跟踪的方法和设备</t>
  </si>
  <si>
    <t>丹尼尔·瓦格纳|朴勇民|潘琪</t>
  </si>
  <si>
    <t>丹尼尔·瓦格纳</t>
  </si>
  <si>
    <t>2014/03/13</t>
  </si>
  <si>
    <t>2017/03/29</t>
  </si>
  <si>
    <t>CN201310359455.8</t>
  </si>
  <si>
    <t>一种基于双门限能量检测的分簇协作频谱感知方法及系统</t>
  </si>
  <si>
    <t>内蒙古大学</t>
  </si>
  <si>
    <t>王树彬|刘慧琴|刘散日那|王洪月</t>
  </si>
  <si>
    <t>王树彬</t>
  </si>
  <si>
    <t>2013/08/16</t>
  </si>
  <si>
    <t>H04W 16/14</t>
  </si>
  <si>
    <t>14/516,323</t>
  </si>
  <si>
    <t>Techniques for energy detection level adjustments</t>
  </si>
  <si>
    <t>Zhou; Yan|Merlin; Simone</t>
  </si>
  <si>
    <t>2014/10/16</t>
  </si>
  <si>
    <t>CN201310354015.3</t>
  </si>
  <si>
    <t>一种基于Polar码的退化窃听信道速率兼容方法</t>
  </si>
  <si>
    <t>赵生妹|施鹏|武凡涛</t>
  </si>
  <si>
    <t>赵生妹</t>
  </si>
  <si>
    <t>1.77</t>
  </si>
  <si>
    <t>CN201310309023.6</t>
  </si>
  <si>
    <t>一种无线中继网络中的信道估计方法</t>
  </si>
  <si>
    <t>胡春静|谢信乾|赵中原|彭木根|王文博</t>
  </si>
  <si>
    <t>胡春静</t>
  </si>
  <si>
    <t>2013/07/22</t>
  </si>
  <si>
    <t>2013/10/09</t>
  </si>
  <si>
    <t>14/525,102</t>
  </si>
  <si>
    <t>Backhaul management of a small cell using a light active estimation mechanism</t>
  </si>
  <si>
    <t>Radulescu; Andrei Dragos|Meshkati; Farhad|Prakash; Rajat|Anjaria; Rashmin Ranjitsinh|Nagaraja; Sumeeth|Chen; Tao|Menon; Vinod Viswanatha|Kamath; Sanjay Sridhar|Kim; Daehak</t>
  </si>
  <si>
    <t>Radulescu; Andrei Dragos</t>
  </si>
  <si>
    <t>2014/10/27</t>
  </si>
  <si>
    <t>2016/12/20</t>
  </si>
  <si>
    <t>CN201310260078.2</t>
  </si>
  <si>
    <t>场效应晶体管及其形成方法</t>
  </si>
  <si>
    <t>王敬|梁仁荣|许军</t>
  </si>
  <si>
    <t>2013/10/02</t>
  </si>
  <si>
    <t>PCT/US2015/02347.0</t>
  </si>
  <si>
    <t>Transistors with improved thermal conductivity</t>
  </si>
  <si>
    <t>Yong Ju LEE|Yang Du</t>
  </si>
  <si>
    <t>Yong Ju LEE</t>
  </si>
  <si>
    <t>2015/11/05</t>
  </si>
  <si>
    <t>H01L 29/51</t>
  </si>
  <si>
    <t>CN201310245642.3</t>
  </si>
  <si>
    <t>基于微机械固支梁电容式功率传感器的倍频器及制备方法</t>
  </si>
  <si>
    <t>廖小平|乔威</t>
  </si>
  <si>
    <t>廖小平</t>
  </si>
  <si>
    <t>2013/09/25</t>
  </si>
  <si>
    <t>H03B 19/00</t>
  </si>
  <si>
    <t>2.89</t>
  </si>
  <si>
    <t>14/563,407</t>
  </si>
  <si>
    <t>Mixer</t>
  </si>
  <si>
    <t>Collier; James|Newton; Tim</t>
  </si>
  <si>
    <t>Collier; James</t>
  </si>
  <si>
    <t>2014/12/08</t>
  </si>
  <si>
    <t>H04B  1/04</t>
  </si>
  <si>
    <t>CN201310214732.6</t>
  </si>
  <si>
    <t>基于三维区域分解的芯片热分析方法</t>
  </si>
  <si>
    <t>喻文健|章涛</t>
  </si>
  <si>
    <t>喻文健</t>
  </si>
  <si>
    <t>0.93</t>
  </si>
  <si>
    <t>PCT/US2016/03728.1</t>
  </si>
  <si>
    <t>Reducing test time and system-on-chip (soc) area reduction using simultaneous clock capture based on voltage sensor input</t>
  </si>
  <si>
    <t>Dipti Ranjan PAL|Kumar Kanti Ghosh</t>
  </si>
  <si>
    <t>2015/07/10</t>
  </si>
  <si>
    <t>2016/06/13</t>
  </si>
  <si>
    <t>G06F  1/28</t>
  </si>
  <si>
    <t>CN201310244032.1</t>
  </si>
  <si>
    <t>基于微机械固支梁电容式功率传感器的分频器及制备方法</t>
  </si>
  <si>
    <t>2013/09/04</t>
  </si>
  <si>
    <t>CN201310178603.6</t>
  </si>
  <si>
    <t>一种基于极化码的混合自动重传请求传输方法</t>
  </si>
  <si>
    <t>牛凯|陈凯</t>
  </si>
  <si>
    <t>牛凯</t>
  </si>
  <si>
    <t>2.63</t>
  </si>
  <si>
    <t>CN201310095506.0</t>
  </si>
  <si>
    <t>基于自适应弹性控制的云计算资源优化配置方法</t>
  </si>
  <si>
    <t>合肥工业大学</t>
  </si>
  <si>
    <t>徐达宇|杨善林|章政|罗贺|丁帅|丁静|范文娟|周开乐</t>
  </si>
  <si>
    <t>徐达宇</t>
  </si>
  <si>
    <t>2013/03/22</t>
  </si>
  <si>
    <t>2013/07/24</t>
  </si>
  <si>
    <t>9.64</t>
  </si>
  <si>
    <t>PCT/CN2013/08099.3</t>
  </si>
  <si>
    <t>Ltr/obff design scheme for ethernet adapter application</t>
  </si>
  <si>
    <t>Xuhong XIONG|Kevin Zhang|Xiaofeng Yan|Jack DU</t>
  </si>
  <si>
    <t>Xuhong XIONG</t>
  </si>
  <si>
    <t>2015/02/12</t>
  </si>
  <si>
    <t>CN201310140087.8</t>
  </si>
  <si>
    <t>一种基于可见光通信的井下移动目标光指纹定位跟踪方法</t>
  </si>
  <si>
    <t>中国矿业大学</t>
  </si>
  <si>
    <t>胡青松|刘伟|张申|吴立新</t>
  </si>
  <si>
    <t>胡青松</t>
  </si>
  <si>
    <t>2013/04/22</t>
  </si>
  <si>
    <t>2013/07/10</t>
  </si>
  <si>
    <t>H04B 10/116</t>
  </si>
  <si>
    <t>4.43</t>
  </si>
  <si>
    <t>PCT/US2015/03449.3</t>
  </si>
  <si>
    <t>Method and apparatus for positioning system enhancement with visible light communication</t>
  </si>
  <si>
    <t>Aleksandar Jovicic</t>
  </si>
  <si>
    <t>2015/06/05</t>
  </si>
  <si>
    <t>2015/12/23</t>
  </si>
  <si>
    <t>G01S  5/16</t>
  </si>
  <si>
    <t>CN201310120751.2</t>
  </si>
  <si>
    <t>基于位置指纹识别算法的安卓设备WiFi室内定位方法</t>
  </si>
  <si>
    <t>南京信息工程大学</t>
  </si>
  <si>
    <t>马廷淮|陆颍华|郑钰辉|田伟|姚永雷</t>
  </si>
  <si>
    <t>马廷淮</t>
  </si>
  <si>
    <t>3.63</t>
  </si>
  <si>
    <t>14/476,539</t>
  </si>
  <si>
    <t>Techniques for utilizing access point vicinity information</t>
  </si>
  <si>
    <t>Edge; Stephen William</t>
  </si>
  <si>
    <t>2014/09/03</t>
  </si>
  <si>
    <t>CN201310071423.8</t>
  </si>
  <si>
    <t>基于三维模型的手势跟踪计算方法和装置</t>
  </si>
  <si>
    <t>戴琼海|王雁刚|索津莉</t>
  </si>
  <si>
    <t>CN201310011129.8</t>
  </si>
  <si>
    <t>一种任意码长的极化编码方法</t>
  </si>
  <si>
    <t>2013/01/11</t>
  </si>
  <si>
    <t>2.60</t>
  </si>
  <si>
    <t>CN201210479985.1</t>
  </si>
  <si>
    <t>基于实时业务的LTE下行填充资源分配方法</t>
  </si>
  <si>
    <t>付茂豹|刘圣洁|张艳凤|王斌</t>
  </si>
  <si>
    <t>付茂豹</t>
  </si>
  <si>
    <t>2012/11/23</t>
  </si>
  <si>
    <t>PCT/CN2013/07886.9</t>
  </si>
  <si>
    <t>Coordination of voip and wireless network processing</t>
  </si>
  <si>
    <t>Yifeng Tu|Yuanxi WANG</t>
  </si>
  <si>
    <t>Yifeng Tu</t>
  </si>
  <si>
    <t>2013/07/05</t>
  </si>
  <si>
    <t>2015/01/08</t>
  </si>
  <si>
    <t>CN201210328614.3</t>
  </si>
  <si>
    <t>基于本地存储的无线接入点实现信息服务的方法及系统</t>
  </si>
  <si>
    <t>东莞中山大学研究院|中山大学</t>
  </si>
  <si>
    <t>中山大学|中山大学</t>
  </si>
  <si>
    <t>罗笑南|曾金龙|孟思明</t>
  </si>
  <si>
    <t>罗笑南</t>
  </si>
  <si>
    <t>2013/01/09</t>
  </si>
  <si>
    <t>H04W  4/12</t>
  </si>
  <si>
    <t>PCT/CN2015/07718.5</t>
  </si>
  <si>
    <t>Caching content at the edge</t>
  </si>
  <si>
    <t>Jun Wang|Xipeng Zhu|Xiaoxia Zhang|Carlos Marcelo Dias Pazos|Ozcan Ozturk</t>
  </si>
  <si>
    <t>Jun Wang</t>
  </si>
  <si>
    <t>2015/04/22</t>
  </si>
  <si>
    <t>2016/10/27</t>
  </si>
  <si>
    <t>H04W  8/20</t>
  </si>
  <si>
    <t>CN201210303343.6</t>
  </si>
  <si>
    <t>多模多待手持移动终端设备入网搜索时间间隔的自适应设置方法和装置</t>
  </si>
  <si>
    <t>魏宁|张忠培</t>
  </si>
  <si>
    <t>魏宁</t>
  </si>
  <si>
    <t>1.73</t>
  </si>
  <si>
    <t>PCT/CN2013/08768.6</t>
  </si>
  <si>
    <t>Adaptive timer for optimized inter radio access technology switching delay in dual radio device</t>
  </si>
  <si>
    <t>MingKai Nan|Huan Wang|Jing Li</t>
  </si>
  <si>
    <t>MingKai Nan</t>
  </si>
  <si>
    <t>CN201080066291.4</t>
  </si>
  <si>
    <t>用于电网集成式车辆的电动车辆车站设备</t>
  </si>
  <si>
    <t>特拉华大学</t>
  </si>
  <si>
    <t>威利特·肯普顿</t>
  </si>
  <si>
    <t>14/667,547</t>
  </si>
  <si>
    <t>Systems, methods, and apparatus related to wireless charging management</t>
  </si>
  <si>
    <t>Halker; Ravi|Gosnell; Donald Joseph|Rodríguez-Figueroa; Héctor Rafael|Reyes; Christian Yair|Mehta; Jayal Madhukumar|Keeling; Nicholas Athol|Kissin; Michael Le Gallais</t>
  </si>
  <si>
    <t>Halker; Ravi</t>
  </si>
  <si>
    <t>2017/04/18</t>
  </si>
  <si>
    <t>CN201080059054.5</t>
  </si>
  <si>
    <t>用于互连的自对准阻挡层和封盖层</t>
  </si>
  <si>
    <t>哈佛大学校长及研究员协会</t>
  </si>
  <si>
    <t>哈佛大学</t>
  </si>
  <si>
    <t>R·G·戈登|H·B·班达理|Y·欧|Y·林</t>
  </si>
  <si>
    <t>R·G·戈登</t>
  </si>
  <si>
    <t>2010/10/20</t>
  </si>
  <si>
    <t>H01L 21/285</t>
  </si>
  <si>
    <t>0.49</t>
  </si>
  <si>
    <t>CN201580009551.7</t>
  </si>
  <si>
    <t>选择性导电阻挡层形成</t>
  </si>
  <si>
    <t>J·J·徐|J·J·朱|C·F·耶普</t>
  </si>
  <si>
    <t>J·J·徐</t>
  </si>
  <si>
    <t>2014/02/28</t>
  </si>
  <si>
    <t>2015/02/19</t>
  </si>
  <si>
    <t>2017/09/22</t>
  </si>
  <si>
    <t>H01L 23/532</t>
  </si>
  <si>
    <t>CN201210290993.1</t>
  </si>
  <si>
    <t>多信道多主用户认知网络中次用户协助主用户中继的方法</t>
  </si>
  <si>
    <t>贺松|蒋铃鸽|何晨|何迪</t>
  </si>
  <si>
    <t>贺松</t>
  </si>
  <si>
    <t>CN201210295172.7</t>
  </si>
  <si>
    <t>TD_LTE_A系统中终端D2D协作中继通信实现方法</t>
  </si>
  <si>
    <t>吴玮|管修挚|吴宣利|李卓明|白旭|沙学军</t>
  </si>
  <si>
    <t>吴玮</t>
  </si>
  <si>
    <t>2012/08/20</t>
  </si>
  <si>
    <t>2012/11/14</t>
  </si>
  <si>
    <t>H04W  8/14</t>
  </si>
  <si>
    <t>37.59</t>
  </si>
  <si>
    <t>PCT/CN2015/08326.6</t>
  </si>
  <si>
    <t>Managing resources for cooperative uplink transmission</t>
  </si>
  <si>
    <t>Neng Wang|Mingxi Fan|Naga Bhushan</t>
  </si>
  <si>
    <t>Neng Wang</t>
  </si>
  <si>
    <t>2015/07/03</t>
  </si>
  <si>
    <t>2016/05/12</t>
  </si>
  <si>
    <t>CN201210234492.1</t>
  </si>
  <si>
    <t>一种适合硬件实现的查询表数字预失真方法和装置</t>
  </si>
  <si>
    <t>厦门大学</t>
  </si>
  <si>
    <t>吴晓芳|邱绕谋|石江宏|郑灵翔|邓振淼</t>
  </si>
  <si>
    <t>吴晓芳</t>
  </si>
  <si>
    <t>2012/07/06</t>
  </si>
  <si>
    <t>2012/10/10</t>
  </si>
  <si>
    <t>14/892,517</t>
  </si>
  <si>
    <t>Transfer function regulation</t>
  </si>
  <si>
    <t>Shute; Nicholas</t>
  </si>
  <si>
    <t>2014/05/22</t>
  </si>
  <si>
    <t>CN201210180940.4</t>
  </si>
  <si>
    <t>自由视点四维空间视频编码系统的编码方法</t>
  </si>
  <si>
    <t>周莉|王少伟|孙涛|康晓</t>
  </si>
  <si>
    <t>周莉</t>
  </si>
  <si>
    <t>2012/06/04</t>
  </si>
  <si>
    <t>CN201210123557.5</t>
  </si>
  <si>
    <t>一种用户上/下楼层判定方法及装置</t>
  </si>
  <si>
    <t>邓中亮|朱宇佳|韩青振|徐连明|刘雯|徐涛</t>
  </si>
  <si>
    <t>邓中亮</t>
  </si>
  <si>
    <t>2012/04/24</t>
  </si>
  <si>
    <t>14/194,530</t>
  </si>
  <si>
    <t>System, method and/or devices for selecting a location context identifier for positioning a mobile device</t>
  </si>
  <si>
    <t>Venkatraman; Sai Pradeep|Zhang; Gengsheng|Wan; Marlene</t>
  </si>
  <si>
    <t>Venkatraman; Sai Pradeep</t>
  </si>
  <si>
    <t>2013/04/26</t>
  </si>
  <si>
    <t>CN201210115368.3</t>
  </si>
  <si>
    <t>一种CHIRP-OFDM系统频域分集接收方法</t>
  </si>
  <si>
    <t>王逸林|陈韵|黄琬|梅继丹|宋威|张亮|蔡平</t>
  </si>
  <si>
    <t>王逸林</t>
  </si>
  <si>
    <t>H04B 13/02</t>
  </si>
  <si>
    <t>2.86</t>
  </si>
  <si>
    <t>13/712,807</t>
  </si>
  <si>
    <t>Diversity with a coded signal</t>
  </si>
  <si>
    <t>Hiscock; Paul Dominic</t>
  </si>
  <si>
    <t>H04L  1/24</t>
  </si>
  <si>
    <t>CN201210073241.X</t>
  </si>
  <si>
    <t>一种全局不一致图像去模糊的方法及系统</t>
  </si>
  <si>
    <t>戴琼海|岳涛</t>
  </si>
  <si>
    <t>2012/03/19</t>
  </si>
  <si>
    <t>G06T  5/50</t>
  </si>
  <si>
    <t>CN201210124043.1</t>
  </si>
  <si>
    <t>一种室内自定位的方法及系统</t>
  </si>
  <si>
    <t>韩泉城|吴成东|张云洲|刘鹏达|程龙</t>
  </si>
  <si>
    <t>韩泉城</t>
  </si>
  <si>
    <t>2012/04/25</t>
  </si>
  <si>
    <t>0.80</t>
  </si>
  <si>
    <t>CN201380062824.5</t>
  </si>
  <si>
    <t>位置定位系统架构：消息传送链路和测距链路</t>
  </si>
  <si>
    <t>田彬|A·贾拉利</t>
  </si>
  <si>
    <t>田彬</t>
  </si>
  <si>
    <t>2012/12/03</t>
  </si>
  <si>
    <t>CN201210004389.8</t>
  </si>
  <si>
    <t>一种多天线超宽带系统信噪比估计方法</t>
  </si>
  <si>
    <t>河南科技大学</t>
  </si>
  <si>
    <t>王丹|徐美玉|杨雷|王勇|张雷鸣</t>
  </si>
  <si>
    <t>王丹</t>
  </si>
  <si>
    <t>2012/01/09</t>
  </si>
  <si>
    <t>2012/08/01</t>
  </si>
  <si>
    <t>H04L 25/03</t>
  </si>
  <si>
    <t>PCT/CN2014/07280.4</t>
  </si>
  <si>
    <t>Channel estimation in td-scdma</t>
  </si>
  <si>
    <t>Farrokh Abrishamkar|Jinghu Chen|Venkata Gautham CHAVALI|Mercader CABRERA|Hari Sankar|Insung Kang|Jilei Hou|Wanlun Zhao</t>
  </si>
  <si>
    <t>Farrokh Abrishamkar</t>
  </si>
  <si>
    <t>2015/09/11</t>
  </si>
  <si>
    <t>H04B 15/00</t>
  </si>
  <si>
    <t>CN201210027544.8</t>
  </si>
  <si>
    <t>一种基于图像分类的全自动视频分割方法及装置</t>
  </si>
  <si>
    <t>戴琼海|闫友为|杨铀</t>
  </si>
  <si>
    <t>2012/02/08</t>
  </si>
  <si>
    <t>PCT/CN2014/09381.5</t>
  </si>
  <si>
    <t>Line-of-sight searching using raster scan information</t>
  </si>
  <si>
    <t>Zhijie Deng|Lei Zhang|Rahul SURESH|Daniel LUKA</t>
  </si>
  <si>
    <t>Zhijie Deng</t>
  </si>
  <si>
    <t>CN201210004333.2</t>
  </si>
  <si>
    <t>一种分割前景图像的方法</t>
  </si>
  <si>
    <t>清华大学深圳研究生院</t>
  </si>
  <si>
    <t>王好谦|邓博雯|徐秀兵|戴琼海</t>
  </si>
  <si>
    <t>王好谦</t>
  </si>
  <si>
    <t>2012/01/06</t>
  </si>
  <si>
    <t>8.87</t>
  </si>
  <si>
    <t>PCT/CN2014/00017.2</t>
  </si>
  <si>
    <t>Image editing techniques for a device</t>
  </si>
  <si>
    <t>Lei Zhang|Ning Bi|Fan Ling</t>
  </si>
  <si>
    <t>Lei Zhang</t>
  </si>
  <si>
    <t>2015/08/27</t>
  </si>
  <si>
    <t>G06F 17/24</t>
  </si>
  <si>
    <t>CN201210014025.8</t>
  </si>
  <si>
    <t>基于闭环控制的功率开关管驱动方法及系统</t>
  </si>
  <si>
    <t>王莉|阮立刚|金鑫</t>
  </si>
  <si>
    <t>王莉</t>
  </si>
  <si>
    <t>H03K 17/296</t>
  </si>
  <si>
    <t>PCT/CN2012/08633.6</t>
  </si>
  <si>
    <t>System and method for suppressing rush current noise in a power switch cell</t>
  </si>
  <si>
    <t>Yanfei CAI|Guang Xiao CHEN|Shuangqu HUANG</t>
  </si>
  <si>
    <t>2012/12/11</t>
  </si>
  <si>
    <t>H02H</t>
  </si>
  <si>
    <t>H02H  9/02</t>
  </si>
  <si>
    <t>CN201110417967.6</t>
  </si>
  <si>
    <t>基于机器视觉和惯导融合的移动机器人运动姿态估计方法</t>
  </si>
  <si>
    <t>路丹晖|马丽莎|杨飞|刘济林</t>
  </si>
  <si>
    <t>路丹晖</t>
  </si>
  <si>
    <t>10.90</t>
  </si>
  <si>
    <t>CN201380052981.8</t>
  </si>
  <si>
    <t>陀螺仪调节及陀螺仪相机对准</t>
  </si>
  <si>
    <t>M·拉马钱德兰|C·布鲁纳|M·R·查里|S·迪亚兹斯平多拉</t>
  </si>
  <si>
    <t>M·拉马钱德兰</t>
  </si>
  <si>
    <t>2012/10/12</t>
  </si>
  <si>
    <t>2016/10/12</t>
  </si>
  <si>
    <t>G01C 25/00</t>
  </si>
  <si>
    <t>CN201210021467.5</t>
  </si>
  <si>
    <t>一种针对HEVC的视频序列的编码方法</t>
  </si>
  <si>
    <t>丁文鹏|尹宝才|朱维佳|施云慧</t>
  </si>
  <si>
    <t>丁文鹏</t>
  </si>
  <si>
    <t>16.40</t>
  </si>
  <si>
    <t>CN201210011735.5</t>
  </si>
  <si>
    <t>无线传感器网络中基于节点性能的任务分配算法</t>
  </si>
  <si>
    <t>河海大学常州校区</t>
  </si>
  <si>
    <t>河海大学</t>
  </si>
  <si>
    <t>韩光洁|张娜|董玉慧|江金芳|刘同庆|郭惠|张晨语</t>
  </si>
  <si>
    <t>韩光洁</t>
  </si>
  <si>
    <t>2012/01/16</t>
  </si>
  <si>
    <t>1.42</t>
  </si>
  <si>
    <t>13/780,815</t>
  </si>
  <si>
    <t>Dynamic power management of context aware services</t>
  </si>
  <si>
    <t>Grokop; Leonard Henry|Sadasivam; Shankar</t>
  </si>
  <si>
    <t>Grokop; Leonard Henry</t>
  </si>
  <si>
    <t>2013/02/28</t>
  </si>
  <si>
    <t>2017/03/14</t>
  </si>
  <si>
    <t>CN201110397147.5</t>
  </si>
  <si>
    <t>高速移动TDD-LTE上行链路中信道估计方法</t>
  </si>
  <si>
    <t>任光亮|杨丽花|张会宁</t>
  </si>
  <si>
    <t>任光亮</t>
  </si>
  <si>
    <t>2011/12/02</t>
  </si>
  <si>
    <t>3.51</t>
  </si>
  <si>
    <t>PCT/CN2013/07362.6</t>
  </si>
  <si>
    <t>Use of time auto-correlation for channel estimation</t>
  </si>
  <si>
    <t>Jianqiang Zhang|Jilei Hou|Neng Wang|Xiaohui Liu|Liangming WU</t>
  </si>
  <si>
    <t>Jianqiang Zhang</t>
  </si>
  <si>
    <t>2014/10/09</t>
  </si>
  <si>
    <t>CN201110321832.X</t>
  </si>
  <si>
    <t>一种基于认知传感器网络的节能频谱检测方法</t>
  </si>
  <si>
    <t>孙雁飞|亓晋|李琳|张斐</t>
  </si>
  <si>
    <t>孙雁飞</t>
  </si>
  <si>
    <t>1.59</t>
  </si>
  <si>
    <t>CN201110305779.4</t>
  </si>
  <si>
    <t>一种多视点视频编码视点间预测快速选择方法</t>
  </si>
  <si>
    <t>朱威|陈朋|郑雅羽|俞立</t>
  </si>
  <si>
    <t>朱威</t>
  </si>
  <si>
    <t>4.75</t>
  </si>
  <si>
    <t>PCT/CN2012/00170.2</t>
  </si>
  <si>
    <t>Inside view motion prediction among texture and depth view components with asymmetric spatial resolution</t>
  </si>
  <si>
    <t>Liu He|Li Zhang|Ying Chen</t>
  </si>
  <si>
    <t>Liu He</t>
  </si>
  <si>
    <t>2012/12/14</t>
  </si>
  <si>
    <t>CN201110261855.6</t>
  </si>
  <si>
    <t>一种多端口寄存器堆存储单元及其布局布线方法</t>
  </si>
  <si>
    <t>虞志益|张星星|李毅|熊保玉|韩军|张跃军|张章|韩军|程旭|曾晓洋</t>
  </si>
  <si>
    <t>虞志益</t>
  </si>
  <si>
    <t>2011/09/06</t>
  </si>
  <si>
    <t>G11C  7/18</t>
  </si>
  <si>
    <t>0.61</t>
  </si>
  <si>
    <t>14/620,480</t>
  </si>
  <si>
    <t>Metal layers for a three-port bit cell</t>
  </si>
  <si>
    <t>Mojumder; Niladri Narayan|Chaba; Ritu|Liu; Ping|Song; Stanley Seungchul|Wang; Zhongze|Yeap; Choh Fei</t>
  </si>
  <si>
    <t>Mojumder; Niladri Narayan</t>
  </si>
  <si>
    <t>H01L 27/11</t>
  </si>
  <si>
    <t>CN201110337733.0</t>
  </si>
  <si>
    <t>面向向量处理器的基于SIMD的FFT并行计算方法</t>
  </si>
  <si>
    <t>刘仲|陈书明|刘衡竹|黄君辉|陈跃跃|龚国辉|陈海燕|孙永节|万江华</t>
  </si>
  <si>
    <t>刘仲</t>
  </si>
  <si>
    <t>2011/10/31</t>
  </si>
  <si>
    <t>2012/03/14</t>
  </si>
  <si>
    <t>3.9</t>
  </si>
  <si>
    <t>13/798,599</t>
  </si>
  <si>
    <t>Vector processing engines having programmable data path configurations for providing multi-mode radix-2x butterfly vector processing circuits, and related vector processors, systems, and methods</t>
  </si>
  <si>
    <t>Khan; Raheel</t>
  </si>
  <si>
    <t>CN201110277206.5</t>
  </si>
  <si>
    <t>一种基于视觉的机器人控制方法</t>
  </si>
  <si>
    <t>张平|杜广龙</t>
  </si>
  <si>
    <t>张平</t>
  </si>
  <si>
    <t>2011/09/19</t>
  </si>
  <si>
    <t>3.73</t>
  </si>
  <si>
    <t>CN201380046048.X</t>
  </si>
  <si>
    <t>基于具有摄像机的远程移动装置的视觉追踪的机器人控制方法、系统和设备</t>
  </si>
  <si>
    <t>M·拉马钱德兰|C·布鲁纳|A·拉马南达恩|A·狄亚吉|M·R·查里</t>
  </si>
  <si>
    <t>CN201110302719.7</t>
  </si>
  <si>
    <t>一种基于ZigBee网络的实时定位方法</t>
  </si>
  <si>
    <t>袁东风|徐伟涛|王镜伟|单小明|王磊|纪洪亮|杨刚震</t>
  </si>
  <si>
    <t>袁东风</t>
  </si>
  <si>
    <t>2011/10/09</t>
  </si>
  <si>
    <t>7.76</t>
  </si>
  <si>
    <t>14/295,469</t>
  </si>
  <si>
    <t>Secure current movement indicator</t>
  </si>
  <si>
    <t>Brown; Craig Matthew|Linsky; Joel Benjamin|Paddon; Michael William|Northway; Craig William</t>
  </si>
  <si>
    <t>Brown; Craig Matthew</t>
  </si>
  <si>
    <t>2014/06/04</t>
  </si>
  <si>
    <t>CN201110147450.X</t>
  </si>
  <si>
    <t>基于虚拟标签算法的无线射频室内定位方法</t>
  </si>
  <si>
    <t>西安理工大学</t>
  </si>
  <si>
    <t>李军怀|王一乐|于蕾</t>
  </si>
  <si>
    <t>李军怀</t>
  </si>
  <si>
    <t>2011/06/02</t>
  </si>
  <si>
    <t>2012/02/01</t>
  </si>
  <si>
    <t>7.48</t>
  </si>
  <si>
    <t>13/778,486</t>
  </si>
  <si>
    <t>User-in-the-loop architecture for indoor positioning</t>
  </si>
  <si>
    <t>Das; Saumitra Mohan|Mohammad Mirzaei; Faraz|Sridhara; Vinay</t>
  </si>
  <si>
    <t>H04W  4/04</t>
  </si>
  <si>
    <t>CN201110269630.5</t>
  </si>
  <si>
    <t>一种三电平大降压直流变换器及其脉冲宽度调制方法</t>
  </si>
  <si>
    <t>张云</t>
  </si>
  <si>
    <t>H02M  3/07</t>
  </si>
  <si>
    <t>0.82</t>
  </si>
  <si>
    <t>14/630,362</t>
  </si>
  <si>
    <t>Circuits and methods for controlling a three-level buck converter</t>
  </si>
  <si>
    <t>Zhang; Chuang|Doyle; James Thomas|Mahmoudi; Farsheed|Shayan Arani; Amirali</t>
  </si>
  <si>
    <t>Zhang; Chuang</t>
  </si>
  <si>
    <t>H02M  3/158</t>
  </si>
  <si>
    <t>CN201110131392.1</t>
  </si>
  <si>
    <t>一种基于连续声源概念的三维局部空间声场重放方法</t>
  </si>
  <si>
    <t>饶维|邱小军</t>
  </si>
  <si>
    <t>饶维</t>
  </si>
  <si>
    <t>2011/05/20</t>
  </si>
  <si>
    <t>1.14</t>
  </si>
  <si>
    <t>14/192,829</t>
  </si>
  <si>
    <t>Transforming spherical harmonic coefficients</t>
  </si>
  <si>
    <t>Sen; Dipanjan|Morrell; Martin James|Peters; Nils Günther</t>
  </si>
  <si>
    <t>Sen; Dipanjan</t>
  </si>
  <si>
    <t>2013/03/01</t>
  </si>
  <si>
    <t>2014/02/27</t>
  </si>
  <si>
    <t>CN201110199561.5</t>
  </si>
  <si>
    <t>一种非平面图像传感器的计算成像方法和成像装置</t>
  </si>
  <si>
    <t>戴琼海|林星</t>
  </si>
  <si>
    <t>2011/07/15</t>
  </si>
  <si>
    <t>11.73</t>
  </si>
  <si>
    <t>CN201380060783.6</t>
  </si>
  <si>
    <t>用于产生3-D全光视频图像的系统和方法</t>
  </si>
  <si>
    <t>朱利亚诺·马乔奇</t>
  </si>
  <si>
    <t>2013/11/13</t>
  </si>
  <si>
    <t>2017/05/03</t>
  </si>
  <si>
    <t>CN201110271036.X</t>
  </si>
  <si>
    <t>一种基于地理位置信息的TD-LTE通信系统的快速切换方法</t>
  </si>
  <si>
    <t>武穆清|栾林林|赵敏|徐春秀|原燕斌|陈玉焓|张安康|苗建松|郑凤|申京|张超一|郭起霖|缪伟忠|周攀峰|邸士萍|曾祥兵|葛淑云|刘仲伟</t>
  </si>
  <si>
    <t>武穆清</t>
  </si>
  <si>
    <t>2011/09/14</t>
  </si>
  <si>
    <t>2011/12/28</t>
  </si>
  <si>
    <t>H04W 36/08</t>
  </si>
  <si>
    <t>6.58</t>
  </si>
  <si>
    <t>PCT/CN2016/07697.0</t>
  </si>
  <si>
    <t>Techniques for redirecting a mobile device to a high-speed dedicated network</t>
  </si>
  <si>
    <t>Congchong Ru|Jie Mao</t>
  </si>
  <si>
    <t>Congchong Ru</t>
  </si>
  <si>
    <t>2016/10/06</t>
  </si>
  <si>
    <t>CN201110225464.9</t>
  </si>
  <si>
    <t>一种基于测距的定位修正方法</t>
  </si>
  <si>
    <t>徐杨|成东峻|郭翔|俞靖|黎建辉|王楠|任阳</t>
  </si>
  <si>
    <t>徐杨</t>
  </si>
  <si>
    <t>G01S  5/00</t>
  </si>
  <si>
    <t>CN201480022906.1</t>
  </si>
  <si>
    <t>用于表征及影响移动装置位置准确度及/或不确定性的方法及设备</t>
  </si>
  <si>
    <t>张更生|菲芮特·O·艾克古尔|孙达尔·拉曼|墨西·S·温帕提|高拉夫·兰巴</t>
  </si>
  <si>
    <t>张更生</t>
  </si>
  <si>
    <t>2013/05/01</t>
  </si>
  <si>
    <t>CN201110147152.0</t>
  </si>
  <si>
    <t>全差分复位延时可调鉴频鉴相器</t>
  </si>
  <si>
    <t>庄奕琪|李振荣|朱新亮|靳刚|汤华莲|李聪|曾志斌</t>
  </si>
  <si>
    <t>庄奕琪</t>
  </si>
  <si>
    <t>H03L  7/085</t>
  </si>
  <si>
    <t>0.85</t>
  </si>
  <si>
    <t>PCT/CN2014/09031.8</t>
  </si>
  <si>
    <t>Clock and data drivers with enhanced transconductance and suppressed output common-mode</t>
  </si>
  <si>
    <t>Wenjun Su|Guangming Yin|Quanqing ZHU</t>
  </si>
  <si>
    <t>Wenjun Su</t>
  </si>
  <si>
    <t>2013/11/07</t>
  </si>
  <si>
    <t>2015/05/14</t>
  </si>
  <si>
    <t>H03K  5/12</t>
  </si>
  <si>
    <t>CN201110120553.7</t>
  </si>
  <si>
    <t>一种低压差线性稳压器</t>
  </si>
  <si>
    <t>周泽坤|胡志明|王会影|石跃|明鑫|张波</t>
  </si>
  <si>
    <t>周泽坤</t>
  </si>
  <si>
    <t>G05F  1/56</t>
  </si>
  <si>
    <t>6.83</t>
  </si>
  <si>
    <t>CN201380055425.6</t>
  </si>
  <si>
    <t>用于减低接通速率低压差调节器(LDO)偏压及补偿的方法及设备</t>
  </si>
  <si>
    <t>B·L·普赖斯|Y·N·卡拉|D·R·沙阿</t>
  </si>
  <si>
    <t>B·L·普赖斯</t>
  </si>
  <si>
    <t>2012/11/06</t>
  </si>
  <si>
    <t>CN201110270993.0</t>
  </si>
  <si>
    <t>一种基于目标小区预承载的TD-LTE通信系统的快速切换方法</t>
  </si>
  <si>
    <t>2011/12/07</t>
  </si>
  <si>
    <t>7.85</t>
  </si>
  <si>
    <t>PCT/CN2015/07546.6</t>
  </si>
  <si>
    <t>A method to pull ue back to high speed dedicated network</t>
  </si>
  <si>
    <t>CN201110200044.5</t>
  </si>
  <si>
    <t>面向高效视频编码HEVC基于上下文的自适应算数编码方法</t>
  </si>
  <si>
    <t>丁文鹏|车效音|施云慧|尹宝才</t>
  </si>
  <si>
    <t>2011/07/14</t>
  </si>
  <si>
    <t>3.68</t>
  </si>
  <si>
    <t>CN201280067083.5</t>
  </si>
  <si>
    <t>用于上下文自适应性二进制算术译码系数层级译码的通过量改进</t>
  </si>
  <si>
    <t>马尔塔·卡切维奇|陈建乐|钱威俊|瑞珍·雷克斯曼·乔许</t>
  </si>
  <si>
    <t>马尔塔·卡切维奇</t>
  </si>
  <si>
    <t>2017/08/01</t>
  </si>
  <si>
    <t>CN201110224370.X</t>
  </si>
  <si>
    <t>基于图像库的视频和图像的编码解码方法与系统</t>
  </si>
  <si>
    <t>中国科学院深圳先进技术研究院|北京大学</t>
  </si>
  <si>
    <t>中国科学院|北京大学</t>
  </si>
  <si>
    <t>朱定局|李朝晖</t>
  </si>
  <si>
    <t>朱定局</t>
  </si>
  <si>
    <t>2011/08/05</t>
  </si>
  <si>
    <t>2011/11/09</t>
  </si>
  <si>
    <t>13/753,247</t>
  </si>
  <si>
    <t>Method of coding video and storing video content</t>
  </si>
  <si>
    <t>Wang; Ye-Kui|Chen; Ying</t>
  </si>
  <si>
    <t>2012/01/30</t>
  </si>
  <si>
    <t>2013/01/29</t>
  </si>
  <si>
    <t>CN201110192854.0</t>
  </si>
  <si>
    <t>基于度2和高度编码包的喷泉码解码方法</t>
  </si>
  <si>
    <t>汪洋|张钦宇|王海莲|张继良|丁丽琴</t>
  </si>
  <si>
    <t>汪洋</t>
  </si>
  <si>
    <t>14/292,359</t>
  </si>
  <si>
    <t>Degree reduction and degree-constrained combining for relaying a fountain code</t>
  </si>
  <si>
    <t>Jose; Jubin|Li; Chong|Wu; Xinzhou|Subramanian; Sundar</t>
  </si>
  <si>
    <t>Jose; Jubin</t>
  </si>
  <si>
    <t>2014/05/30</t>
  </si>
  <si>
    <t>CN201110199503.2</t>
  </si>
  <si>
    <t>基于ASIFT的多模态图像特征提取与匹配方法</t>
  </si>
  <si>
    <t>张强|李慧娟|王龙|杨茹</t>
  </si>
  <si>
    <t>张强</t>
  </si>
  <si>
    <t>2011/07/17</t>
  </si>
  <si>
    <t>11.62</t>
  </si>
  <si>
    <t>13/663,897</t>
  </si>
  <si>
    <t>Multispectral imaging system</t>
  </si>
  <si>
    <t>Zhang; Xiaopeng|Qiu; Gang|Wang; Jilai|Zhou; Xiaoming|Shen; Liang|Aleksic; Milivoje|Vaddadi; Sundeep|Zhuo; Shaojie</t>
  </si>
  <si>
    <t>Zhang; Xiaopeng</t>
  </si>
  <si>
    <t>2011/11/04</t>
  </si>
  <si>
    <t>2012/10/30</t>
  </si>
  <si>
    <t>H04N  5/33</t>
  </si>
  <si>
    <t>CN201110147162.4</t>
  </si>
  <si>
    <t>二分之一连续相位切普键控调制方法</t>
  </si>
  <si>
    <t>孙志国|王鹏宇|郭黎利</t>
  </si>
  <si>
    <t>孙志国</t>
  </si>
  <si>
    <t>2011/10/19</t>
  </si>
  <si>
    <t>H04L 27/20</t>
  </si>
  <si>
    <t>3.69</t>
  </si>
  <si>
    <t>13/451,512</t>
  </si>
  <si>
    <t>Encrypting communications</t>
  </si>
  <si>
    <t>Qualcomm Technologies International, Ltd.</t>
  </si>
  <si>
    <t>CN201110152238.2</t>
  </si>
  <si>
    <t>一种全互联路由结构动态可重构处理器</t>
  </si>
  <si>
    <t>朱敏|刘雷波|王延升|戚斌|杨军|曹鹏|时龙兴|尹首一|魏少军</t>
  </si>
  <si>
    <t>朱敏</t>
  </si>
  <si>
    <t>2011/06/08</t>
  </si>
  <si>
    <t>2011/10/12</t>
  </si>
  <si>
    <t>G06F 15/78</t>
  </si>
  <si>
    <t>6.56</t>
  </si>
  <si>
    <t>13/781,755</t>
  </si>
  <si>
    <t>Switching fabric for embedded reconfigurable computing</t>
  </si>
  <si>
    <t>Rao; Hari|Nousias; Ioannis|Khawam; Sami</t>
  </si>
  <si>
    <t>Rao; Hari</t>
  </si>
  <si>
    <t>CN201110123345.2</t>
  </si>
  <si>
    <t>基于基底神经节的FPGA仿生智能控制芯片</t>
  </si>
  <si>
    <t>南京理工大学</t>
  </si>
  <si>
    <t>陈庆伟|吴益飞|王义萍|陈威|伏姜|杜仁慧|郭健|樊卫华|吴晓蓓</t>
  </si>
  <si>
    <t>陈庆伟</t>
  </si>
  <si>
    <t>2011/05/13</t>
  </si>
  <si>
    <t>G05B 19/05</t>
  </si>
  <si>
    <t>5.42</t>
  </si>
  <si>
    <t>CN201380008188.8</t>
  </si>
  <si>
    <t>用于尖峰神经计算的方法和装置</t>
  </si>
  <si>
    <t>J·F·亨泽格|V·阿帕林</t>
  </si>
  <si>
    <t>J·F·亨泽格</t>
  </si>
  <si>
    <t>2013/02/07</t>
  </si>
  <si>
    <t>CN200980140168.X</t>
  </si>
  <si>
    <t>用于防止驾驶时使用手机的系统和方法</t>
  </si>
  <si>
    <t>犹他大学研究基金会</t>
  </si>
  <si>
    <t>犹他大学</t>
  </si>
  <si>
    <t>W·M·库瑞|周学松</t>
  </si>
  <si>
    <t>W·M·库瑞</t>
  </si>
  <si>
    <t>2009/10/06</t>
  </si>
  <si>
    <t>H04W 48/04</t>
  </si>
  <si>
    <t>CN201380012306.2</t>
  </si>
  <si>
    <t>低电力地理静止性检测</t>
  </si>
  <si>
    <t>约翰·迈克尔·伯克</t>
  </si>
  <si>
    <t>2012/03/07</t>
  </si>
  <si>
    <t>2016/10/19</t>
  </si>
  <si>
    <t>CN201020574300.8</t>
  </si>
  <si>
    <t>3D多米诺集成电路时钟网络</t>
  </si>
  <si>
    <t>汪金辉|吴武臣|侯立刚|宫娜|耿淑琴|张旺|袁颖</t>
  </si>
  <si>
    <t>汪金辉</t>
  </si>
  <si>
    <t>2010/10/15</t>
  </si>
  <si>
    <t>H03K 19/0944</t>
  </si>
  <si>
    <t>0.58</t>
  </si>
  <si>
    <t>CN201380071377.X</t>
  </si>
  <si>
    <t>用于3D集成电路的时钟分布网络</t>
  </si>
  <si>
    <t>K·萨马迪|S·A·潘|J·谢|Y·杜</t>
  </si>
  <si>
    <t>K·萨马迪</t>
  </si>
  <si>
    <t>2015/09/23</t>
  </si>
  <si>
    <t>G06F 17/50</t>
  </si>
  <si>
    <t>CN201010113753.5</t>
  </si>
  <si>
    <t>一次可编程电阻随机存储器、读写电路及其编程方法</t>
  </si>
  <si>
    <t>林殷茵|金钢</t>
  </si>
  <si>
    <t>林殷茵</t>
  </si>
  <si>
    <t>4.0</t>
  </si>
  <si>
    <t>13/765,559</t>
  </si>
  <si>
    <t>Protection for system configuration information</t>
  </si>
  <si>
    <t>Uvieghara; Gregory Ameriada|Batenburg; Michael|Terzioglu; Esin|Tao; Yucong</t>
  </si>
  <si>
    <t>Uvieghara; Gregory Ameriada</t>
  </si>
  <si>
    <t>G11C  5/14</t>
  </si>
  <si>
    <t>CN201110076560.1</t>
  </si>
  <si>
    <t>带振动触觉反馈的三维体感人机交互系统及其交互方法</t>
  </si>
  <si>
    <t>陆熊|王冲|张丹|万文章|施玉霞</t>
  </si>
  <si>
    <t>陆熊</t>
  </si>
  <si>
    <t>1.85</t>
  </si>
  <si>
    <t>13/594,305</t>
  </si>
  <si>
    <t>Integrating sensation functionalities into a mobile device using a haptic sleeve</t>
  </si>
  <si>
    <t>Sheynblat; Leonid|Sridhara; Vinay|Das; Saumitra Mohan</t>
  </si>
  <si>
    <t>Sheynblat; Leonid</t>
  </si>
  <si>
    <t>2011/12/19</t>
  </si>
  <si>
    <t>G06F  3/041</t>
  </si>
  <si>
    <t>CN201110035314.1</t>
  </si>
  <si>
    <t>痛觉神经刺激装置</t>
  </si>
  <si>
    <t>大学共同利用机关法人自然科学研究机构|日本光电工业株式会社</t>
  </si>
  <si>
    <t>乾幸二|竹岛康行|根木润|斧嘉伸|小岛武|牛岛良介|中市克己|涩谷一和</t>
  </si>
  <si>
    <t>乾幸二</t>
  </si>
  <si>
    <t>2010/02/09</t>
  </si>
  <si>
    <t>A61N</t>
  </si>
  <si>
    <t>A61N  1/36</t>
  </si>
  <si>
    <t>CN201380026659.8</t>
  </si>
  <si>
    <t>用于获取皮肤电活动的方法和设备</t>
  </si>
  <si>
    <t>R·S·塔尔兹|J·S·金|A·A·瓦尔塔克</t>
  </si>
  <si>
    <t>R·S·塔尔兹</t>
  </si>
  <si>
    <t>2013/05/23</t>
  </si>
  <si>
    <t>A61B  5/16</t>
  </si>
  <si>
    <t>CN201080001287.X</t>
  </si>
  <si>
    <t>用于网络数据路径质量的非协作测量方法</t>
  </si>
  <si>
    <t>香港理工大学</t>
  </si>
  <si>
    <t>罗夏朴|陈焕华|张蛟川</t>
  </si>
  <si>
    <t>罗夏朴</t>
  </si>
  <si>
    <t>2009/06/11</t>
  </si>
  <si>
    <t>2010/06/11</t>
  </si>
  <si>
    <t>0.76</t>
  </si>
  <si>
    <t>CN201280041459.5</t>
  </si>
  <si>
    <t>用于端到端多径网络系统的反馈协议</t>
  </si>
  <si>
    <t>黄晓龙|X·罗|V·R·拉维德兰</t>
  </si>
  <si>
    <t>黄晓龙</t>
  </si>
  <si>
    <t>2017/05/10</t>
  </si>
  <si>
    <t>CN200980135842.5</t>
  </si>
  <si>
    <t>编码和解码统合的语音与音频信号的设备与方法</t>
  </si>
  <si>
    <t>韩国电子通信研究院|光云大学校产学协力团</t>
  </si>
  <si>
    <t>韩国电子通信研究院|光云大学</t>
  </si>
  <si>
    <t>李泰辰|白承权|金珉第|张大永|徐廷一|姜京玉|洪镇佑|朴浩综|朴荣喆</t>
  </si>
  <si>
    <t>李泰辰</t>
  </si>
  <si>
    <t>2008/07/14</t>
  </si>
  <si>
    <t>G01L</t>
  </si>
  <si>
    <t>G01L 19/14</t>
  </si>
  <si>
    <t>1.19</t>
  </si>
  <si>
    <t>CN201280066779.6</t>
  </si>
  <si>
    <t>多译码模式信号分类</t>
  </si>
  <si>
    <t>芬卡特拉曼·斯里尼瓦沙·阿提|伊桑·罗伯特·杜尼</t>
  </si>
  <si>
    <t>芬卡特拉曼·斯里尼瓦沙·阿提</t>
  </si>
  <si>
    <t>2012/01/13</t>
  </si>
  <si>
    <t>2012/12/21</t>
  </si>
  <si>
    <t>2017/08/11</t>
  </si>
  <si>
    <t>G10L 19/20</t>
  </si>
  <si>
    <t>CN201010567839.5</t>
  </si>
  <si>
    <t>对带有透明锁存器的数字集成电路进行优化的速度分级的方法</t>
  </si>
  <si>
    <t>曾璇|周海|陶俊|龚旻</t>
  </si>
  <si>
    <t>曾璇</t>
  </si>
  <si>
    <t>2010/11/26</t>
  </si>
  <si>
    <t>2011/08/03</t>
  </si>
  <si>
    <t>CN201480012469.5</t>
  </si>
  <si>
    <t>用于紧凑时钟分布的集成电路平面图</t>
  </si>
  <si>
    <t>V·斯里尼瓦斯|R·W·C·金|P·M·克洛维斯|D·I·韦斯特</t>
  </si>
  <si>
    <t>V·斯里尼瓦斯</t>
  </si>
  <si>
    <t>2014/02/26</t>
  </si>
  <si>
    <t>CN201010619891.0</t>
  </si>
  <si>
    <t>视频编解码器网络提取层NAL模块及实现方法</t>
  </si>
  <si>
    <t>北京大学深圳研究生院</t>
  </si>
  <si>
    <t>胡子一|王新安|李铃|王腾|张兴</t>
  </si>
  <si>
    <t>胡子一</t>
  </si>
  <si>
    <t>CN201280053896.9</t>
  </si>
  <si>
    <t>用于视频译码的分段参数集</t>
  </si>
  <si>
    <t>陈盈|王益魁|瑞珍·雷克斯曼·乔许|马尔塔·卡切维奇</t>
  </si>
  <si>
    <t>陈盈</t>
  </si>
  <si>
    <t>2017/02/15</t>
  </si>
  <si>
    <t>H04N 19/30</t>
  </si>
  <si>
    <t>CN201010606028.1</t>
  </si>
  <si>
    <t>基于高速总线和GPU的快跳频多发多收系统通信方法</t>
  </si>
  <si>
    <t>北京理工大学</t>
  </si>
  <si>
    <t>卢继华|周荣花|李祥明|樊芳芳|黎悟渊</t>
  </si>
  <si>
    <t>卢继华</t>
  </si>
  <si>
    <t>2010/12/15</t>
  </si>
  <si>
    <t>CN201480013516.8</t>
  </si>
  <si>
    <t>用于信标围栏应用的低能量信令方案</t>
  </si>
  <si>
    <t>卡塔兰·拉卡图斯|埃米斯·帕里克|哈林·吉尔</t>
  </si>
  <si>
    <t>卡塔兰·拉卡图斯</t>
  </si>
  <si>
    <t>H04B  1/7143</t>
  </si>
  <si>
    <t>CN201010510296.3</t>
  </si>
  <si>
    <t>2010/10/18</t>
  </si>
  <si>
    <t>CN201110020495.0</t>
  </si>
  <si>
    <t>一种低复杂度的LDPC码译码方法</t>
  </si>
  <si>
    <t>沈海斌|陈武|李袁鑫|张雷雷</t>
  </si>
  <si>
    <t>沈海斌</t>
  </si>
  <si>
    <t>2011/01/18</t>
  </si>
  <si>
    <t>2011/05/04</t>
  </si>
  <si>
    <t>H03M 13/11</t>
  </si>
  <si>
    <t>2.81</t>
  </si>
  <si>
    <t>PCT/CN2013/07261.1</t>
  </si>
  <si>
    <t>Method and apparatus of ldpc decoder with lower error floor</t>
  </si>
  <si>
    <t>Jian Li|Changlong Xu|Yisheng Xue|Jilei Hou|Yin Huang</t>
  </si>
  <si>
    <t>Jian Li</t>
  </si>
  <si>
    <t>2014/09/18</t>
  </si>
  <si>
    <t>CN201010585261.6</t>
  </si>
  <si>
    <t>基于光学成像测头和视觉图结构的多摄像机系统标定方法</t>
  </si>
  <si>
    <t>赵宏|李进军</t>
  </si>
  <si>
    <t>赵宏</t>
  </si>
  <si>
    <t>2010/12/13</t>
  </si>
  <si>
    <t>2011/04/27</t>
  </si>
  <si>
    <t>3.75</t>
  </si>
  <si>
    <t>CN201380011701.9</t>
  </si>
  <si>
    <t>基于场景结构的自我姿势估计</t>
  </si>
  <si>
    <t>克莱门斯·阿斯|格哈德·赖特迈尔|迪特尔·施马尔施蒂格</t>
  </si>
  <si>
    <t>克莱门斯·阿斯</t>
  </si>
  <si>
    <t>2017/03/08</t>
  </si>
  <si>
    <t>G06T  7/80</t>
  </si>
  <si>
    <t>CN201010583807.4</t>
  </si>
  <si>
    <t>综合颜色和局部不变特征匹配的动画场景自动标注方法</t>
  </si>
  <si>
    <t>谢毓湘|杨征|邓莉琼|吴玲达|魏迎梅|蒋杰|黄紫藤</t>
  </si>
  <si>
    <t>谢毓湘</t>
  </si>
  <si>
    <t>2011/04/13</t>
  </si>
  <si>
    <t>3.14</t>
  </si>
  <si>
    <t>CN200910194421.1</t>
  </si>
  <si>
    <t>一种建立集成电路芯片内工艺偏差的空间相关性模型的方法</t>
  </si>
  <si>
    <t>曾璇|陆伟成|陶俊|严昌浩|付强</t>
  </si>
  <si>
    <t>2009/08/21</t>
  </si>
  <si>
    <t>CN201280027088.5</t>
  </si>
  <si>
    <t>用于对多个装置状态分类的方法和设备</t>
  </si>
  <si>
    <t>里昂纳德·H·葛罗科普|安东尼·萨拉</t>
  </si>
  <si>
    <t>里昂纳德·H·葛罗科普</t>
  </si>
  <si>
    <t>2012/05/21</t>
  </si>
  <si>
    <t>CN201010532632.4</t>
  </si>
  <si>
    <t>基于虚拟网络接口和反向地址转换的网络数据传输方法</t>
  </si>
  <si>
    <t>张尧学|周悦芝</t>
  </si>
  <si>
    <t>张尧学</t>
  </si>
  <si>
    <t>2010/11/05</t>
  </si>
  <si>
    <t>3.60</t>
  </si>
  <si>
    <t>CN201380004847.0</t>
  </si>
  <si>
    <t>用于通信网络的受云计算控制的网关</t>
  </si>
  <si>
    <t>W·G·邓兰普|M·W·库巴格</t>
  </si>
  <si>
    <t>W·G·邓兰普</t>
  </si>
  <si>
    <t>2017/07/07</t>
  </si>
  <si>
    <t>CN201010555961.0</t>
  </si>
  <si>
    <t>一种基于数据驱动的多源多特征信息融合方法</t>
  </si>
  <si>
    <t>林岳松|陈琳|郭宝峰|鲁仁全</t>
  </si>
  <si>
    <t>林岳松</t>
  </si>
  <si>
    <t>2011/03/09</t>
  </si>
  <si>
    <t>CN201280015733.1</t>
  </si>
  <si>
    <t>用于在移动装置中使用似然函数值的组合对用户活动进行分类的系统、方法和设备</t>
  </si>
  <si>
    <t>里昂纳德·亨利·葛罗科普|安东尼·沙尔|桑吉夫·南达</t>
  </si>
  <si>
    <t>里昂纳德·亨利·葛罗科普</t>
  </si>
  <si>
    <t>2011/03/31</t>
  </si>
  <si>
    <t>CN201010536651.4</t>
  </si>
  <si>
    <t>资源分配方法及其装置</t>
  </si>
  <si>
    <t>刘芳|刘元安|刘凯明|谢刚|林乐翔|张洪光</t>
  </si>
  <si>
    <t>刘芳</t>
  </si>
  <si>
    <t>H04W 72/10</t>
  </si>
  <si>
    <t>3.0</t>
  </si>
  <si>
    <t>CN201280036208.8</t>
  </si>
  <si>
    <t>用于无线上行链路功率控制的系统、方法和装置</t>
  </si>
  <si>
    <t>A·恰托维奇|M·A·赛义德尼</t>
  </si>
  <si>
    <t>A·恰托维奇</t>
  </si>
  <si>
    <t>2011/07/22</t>
  </si>
  <si>
    <t>2017/03/22</t>
  </si>
  <si>
    <t>H04W 52/28</t>
  </si>
  <si>
    <t>CN200980107543.0</t>
  </si>
  <si>
    <t>用于处理音频信号的方法和装置</t>
  </si>
  <si>
    <t>LG电子株式会社|延世大学工业学术合作社</t>
  </si>
  <si>
    <t>LG电子株式会社|延世大学工业大学协力团</t>
  </si>
  <si>
    <t>吴贤午|宋政旭|李昌宪|郑亮源|姜泓求</t>
  </si>
  <si>
    <t>吴贤午</t>
  </si>
  <si>
    <t>2009/03/03</t>
  </si>
  <si>
    <t>2011/02/02</t>
  </si>
  <si>
    <t>6.29</t>
  </si>
  <si>
    <t>CN201010291264.9</t>
  </si>
  <si>
    <t>基于H.264/AVC中CABAC的并行编码实现电路及编码方法</t>
  </si>
  <si>
    <t>刘振宇|汪东升</t>
  </si>
  <si>
    <t>刘振宇</t>
  </si>
  <si>
    <t>2011/01/19</t>
  </si>
  <si>
    <t>9.22</t>
  </si>
  <si>
    <t>CN201280054851.3</t>
  </si>
  <si>
    <t>用于最后有效系数位置译码的上下文最优化</t>
  </si>
  <si>
    <t>郭立威|钱威俊|马尔塔·卡切维奇</t>
  </si>
  <si>
    <t>郭立威</t>
  </si>
  <si>
    <t>2017/06/30</t>
  </si>
  <si>
    <t>CN201010248041.4</t>
  </si>
  <si>
    <t>一种无线局域网的切换方法</t>
  </si>
  <si>
    <t>蒋海林|步兵|赵红礼|郜春海|唐涛</t>
  </si>
  <si>
    <t>蒋海林</t>
  </si>
  <si>
    <t>2010/12/29</t>
  </si>
  <si>
    <t>8.20</t>
  </si>
  <si>
    <t>CN201380039832.8</t>
  </si>
  <si>
    <t>接入点众包数据的处理</t>
  </si>
  <si>
    <t>高伟华|张更生|阿肖克·巴蒂亚</t>
  </si>
  <si>
    <t>高伟华</t>
  </si>
  <si>
    <t>2012/07/31</t>
  </si>
  <si>
    <t>2016/11/02</t>
  </si>
  <si>
    <t>CN200910087012.1</t>
  </si>
  <si>
    <t>一种垃圾短信过滤方法和系统</t>
  </si>
  <si>
    <t>周延泉|张魏</t>
  </si>
  <si>
    <t>周延泉</t>
  </si>
  <si>
    <t>2009/06/22</t>
  </si>
  <si>
    <t>H04M  1/725</t>
  </si>
  <si>
    <t>1.8</t>
  </si>
  <si>
    <t>13/371,244</t>
  </si>
  <si>
    <t>Offloading of data to wireless local area network</t>
  </si>
  <si>
    <t>QUALCOMM Incorporatd</t>
  </si>
  <si>
    <t>Meylan; Arnaud|Shah; Tejash Rajnikant|Sundararajan; Jay Kumar</t>
  </si>
  <si>
    <t>2012/02/10</t>
  </si>
  <si>
    <t>2017/02/14</t>
  </si>
  <si>
    <t>CN201010262100.3</t>
  </si>
  <si>
    <t>一种带有片上有源Balun的差分CMOS多模低噪声放大器</t>
  </si>
  <si>
    <t>2010/08/25</t>
  </si>
  <si>
    <t>CN201480014582.7</t>
  </si>
  <si>
    <t>具有改进的线性度的分路式放大器</t>
  </si>
  <si>
    <t>A·A·约瑟夫|L-C·常</t>
  </si>
  <si>
    <t>A·A·约瑟夫</t>
  </si>
  <si>
    <t>2017/09/01</t>
  </si>
  <si>
    <t>H03F  1/22</t>
  </si>
  <si>
    <t>CN201010241831.X</t>
  </si>
  <si>
    <t>LTE-A系统中信道状态信息参考信号CSI-RS的设计方法</t>
  </si>
  <si>
    <t>李兵兵|刘明骞|王彬彬|同钊</t>
  </si>
  <si>
    <t>李兵兵</t>
  </si>
  <si>
    <t>2010/08/02</t>
  </si>
  <si>
    <t>CN201380005253.1</t>
  </si>
  <si>
    <t>使用基于CSI-RS的定时的基于DM-RS的解码</t>
  </si>
  <si>
    <t>S·盖尔霍费尔|W·陈|骆涛|P·加尔|徐浩</t>
  </si>
  <si>
    <t>S·盖尔霍费尔</t>
  </si>
  <si>
    <t>CN201010262078.2</t>
  </si>
  <si>
    <t>一种多视点视频编码快速运动估计方法</t>
  </si>
  <si>
    <t>陈耀武|朱威|林翔宇|周承涛</t>
  </si>
  <si>
    <t>陈耀武</t>
  </si>
  <si>
    <t>12.96</t>
  </si>
  <si>
    <t>PCT/CN2014/07335.3</t>
  </si>
  <si>
    <t>Simplified advanced residual prediction for 3d-hevc</t>
  </si>
  <si>
    <t>Hongbin Liu|Ying Chen</t>
  </si>
  <si>
    <t>2015/09/17</t>
  </si>
  <si>
    <t>CN201010224545.2</t>
  </si>
  <si>
    <t>双目相机的几何校正及视差提取装置</t>
  </si>
  <si>
    <t>王延长|杨镔|李培弘|刘济林</t>
  </si>
  <si>
    <t>王延长</t>
  </si>
  <si>
    <t>2010/07/09</t>
  </si>
  <si>
    <t>G06T  1/20</t>
  </si>
  <si>
    <t>PCT/CN2012/08368.7</t>
  </si>
  <si>
    <t>Ethernet over usb interfaces with full-duplex differential pairs</t>
  </si>
  <si>
    <t>Hongchun YU</t>
  </si>
  <si>
    <t>H04M  1/253</t>
  </si>
  <si>
    <t>CN201010232579.6</t>
  </si>
  <si>
    <t>一种三阶段分布式无线协同组播/广播方法</t>
  </si>
  <si>
    <t>中国人民解放军理工大学</t>
  </si>
  <si>
    <t>徐友云|宋留斌|谢威|张冬梅</t>
  </si>
  <si>
    <t>徐友云</t>
  </si>
  <si>
    <t>H04W  4/06</t>
  </si>
  <si>
    <t>CN201010224336.8</t>
  </si>
  <si>
    <t>基于树形结构的具有可靠性保证的数据聚合方法</t>
  </si>
  <si>
    <t>蒲菊华|刘国师|罗亚萍|陈佳|唐晓岚|熊璋</t>
  </si>
  <si>
    <t>蒲菊华</t>
  </si>
  <si>
    <t>7.93</t>
  </si>
  <si>
    <t>13/836,178</t>
  </si>
  <si>
    <t>Systems and methods of selective scanning for ad-hoc networks</t>
  </si>
  <si>
    <t>Zhou; Yan|Cherian; George|Abraham; Santosh Paul</t>
  </si>
  <si>
    <t>2012/11/30</t>
  </si>
  <si>
    <t>H04W 84/18</t>
  </si>
  <si>
    <t>CN201010225056.9</t>
  </si>
  <si>
    <t>时间交替模数转换器失配误差的自适应校准装置</t>
  </si>
  <si>
    <t>刘素娟|张特|余涵|陈建新</t>
  </si>
  <si>
    <t>刘素娟</t>
  </si>
  <si>
    <t>CN201280011365.3</t>
  </si>
  <si>
    <t>使用压控振荡器的非均匀采样技术</t>
  </si>
  <si>
    <t>D·K·苏</t>
  </si>
  <si>
    <t>2011/03/03</t>
  </si>
  <si>
    <t>2012/02/27</t>
  </si>
  <si>
    <t>CN200910039506.2</t>
  </si>
  <si>
    <t>一种聪明图形驱动的网格图像变形方法</t>
  </si>
  <si>
    <t>杜晓荣|张永|龙立明|温佩贤</t>
  </si>
  <si>
    <t>杜晓荣</t>
  </si>
  <si>
    <t>PCT/CN2013/00017.9</t>
  </si>
  <si>
    <t>Systems and methods for interactive image caricaturing by an electronic device</t>
  </si>
  <si>
    <t>Xuan ZOU|Fan Ling|Ning Bi|Lei Zhang</t>
  </si>
  <si>
    <t>Xuan ZOU</t>
  </si>
  <si>
    <t>2013/02/23</t>
  </si>
  <si>
    <t>CN200920274906.7</t>
  </si>
  <si>
    <t>一种高速浮点规格化运算器</t>
  </si>
  <si>
    <t>高德远|姚涛|樊晓桠|张盛兵|王党辉|魏廷存|黄小平|张萌|郑然</t>
  </si>
  <si>
    <t>高德远</t>
  </si>
  <si>
    <t>2009/12/31</t>
  </si>
  <si>
    <t>G06F  7/57</t>
  </si>
  <si>
    <t>CN201380008389.8</t>
  </si>
  <si>
    <t>产生浮点常数值的方法、系统及设备</t>
  </si>
  <si>
    <t>埃里希·詹姆士·普罗恩德克|鲁西恩·科德雷斯库|查尔斯·约瑟夫·塔伯尼|斯瓦米纳坦·巴拉苏布拉马尼安</t>
  </si>
  <si>
    <t>埃里希·詹姆士·普罗恩德克</t>
  </si>
  <si>
    <t>2012/02/09</t>
  </si>
  <si>
    <t>2013/02/08</t>
  </si>
  <si>
    <t>CN201010183380.9</t>
  </si>
  <si>
    <t>一种面向全景视频编码的快速全局运动估计方法</t>
  </si>
  <si>
    <t>广西大学</t>
  </si>
  <si>
    <t>覃团发|郑嘉利</t>
  </si>
  <si>
    <t>覃团发</t>
  </si>
  <si>
    <t>CN201210120598.9</t>
  </si>
  <si>
    <t>多曝光高动态范围图像捕捉</t>
  </si>
  <si>
    <t>高通科技公司</t>
  </si>
  <si>
    <t>G·拉帕波特</t>
  </si>
  <si>
    <t>H04N  5/243</t>
  </si>
  <si>
    <t>CN201010206390.X</t>
  </si>
  <si>
    <t>基于时间反演的无线传感器网络节点定位方法</t>
  </si>
  <si>
    <t>洪劲松|张光旻|王巍巍|李莉|李冰|王秉中</t>
  </si>
  <si>
    <t>洪劲松</t>
  </si>
  <si>
    <t>2010/06/23</t>
  </si>
  <si>
    <t>6.61</t>
  </si>
  <si>
    <t>14/345,941</t>
  </si>
  <si>
    <t>Time of arrival based positioning system</t>
  </si>
  <si>
    <t>Zhang; Xiaoxin|Zhang; Ning</t>
  </si>
  <si>
    <t>Zhang; Xiaoxin</t>
  </si>
  <si>
    <t>2016/05/03</t>
  </si>
  <si>
    <t>CN200910082563.9</t>
  </si>
  <si>
    <t>帧间预测编码方法、帧间预测解码方法及设备</t>
  </si>
  <si>
    <t>华为技术有限公司|西安电子科技大学</t>
  </si>
  <si>
    <t>林四新|胡昌启|李志斌|常义林|高山</t>
  </si>
  <si>
    <t>林四新</t>
  </si>
  <si>
    <t>2009/04/24</t>
  </si>
  <si>
    <t>4.29</t>
  </si>
  <si>
    <t>PCT/CN2013/00086.9</t>
  </si>
  <si>
    <t>3d video coding with partition-based depth inter coding</t>
  </si>
  <si>
    <t>Ying Chen|Xin Zhao|Li Zhang</t>
  </si>
  <si>
    <t>Ying Chen</t>
  </si>
  <si>
    <t>2013/07/19</t>
  </si>
  <si>
    <t>2015/01/22</t>
  </si>
  <si>
    <t>H04N 19/50</t>
  </si>
  <si>
    <t>CN201010202062.2</t>
  </si>
  <si>
    <t>基于稀疏采样和纹理重建的视频编码系统</t>
  </si>
  <si>
    <t>熊红凯|袁喆</t>
  </si>
  <si>
    <t>熊红凯</t>
  </si>
  <si>
    <t>13/718,945</t>
  </si>
  <si>
    <t>Sub-streams for wavefront parallel processing in video coding</t>
  </si>
  <si>
    <t>Wang; Ye-Kui|Coban; Muhammed Zeyd</t>
  </si>
  <si>
    <t>2012/12/18</t>
  </si>
  <si>
    <t>CN201010199509.5</t>
  </si>
  <si>
    <t>一种对光照变化鲁棒的运动目标检测方法</t>
  </si>
  <si>
    <t>余胜生|孙伟平|陈小平|廖红虹|李晓振|周敬利|郭红星|陈加忠|代江华|向杰</t>
  </si>
  <si>
    <t>余胜生</t>
  </si>
  <si>
    <t>2010/06/13</t>
  </si>
  <si>
    <t>5.40</t>
  </si>
  <si>
    <t>CN201010196754.0</t>
  </si>
  <si>
    <t>一种片外存储器访问控制器</t>
  </si>
  <si>
    <t>赵华龙|桑红石|张天序</t>
  </si>
  <si>
    <t>赵华龙</t>
  </si>
  <si>
    <t>G06F 13/38</t>
  </si>
  <si>
    <t>3.66</t>
  </si>
  <si>
    <t>14/484,125</t>
  </si>
  <si>
    <t>System and method for system-on-a-chip subsystem external access detection and recovery</t>
  </si>
  <si>
    <t>Shabel; Jeffrey David|Mueller, Jr.; Philip|Zhao; Zhurang|Streeter; Carl Victor|Kulkarni; Rashmi</t>
  </si>
  <si>
    <t>Shabel; Jeffrey David</t>
  </si>
  <si>
    <t>2014/09/11</t>
  </si>
  <si>
    <t>CN201010147047.2</t>
  </si>
  <si>
    <t>分布式认知无线电网络中的频谱切换方法</t>
  </si>
  <si>
    <t>乔晓瑜|谈振辉|徐少毅|黄清|叶海纳|张华晶</t>
  </si>
  <si>
    <t>乔晓瑜</t>
  </si>
  <si>
    <t>2010/04/14</t>
  </si>
  <si>
    <t>9.10</t>
  </si>
  <si>
    <t>13/469,064</t>
  </si>
  <si>
    <t>Methods and apparatuses for frequency spectrum sharing</t>
  </si>
  <si>
    <t>Gaal; Peter|Barbieri; Alan|Prakash; Rajat|Huang; Yi</t>
  </si>
  <si>
    <t>Gaal; Peter</t>
  </si>
  <si>
    <t>2012/05/10</t>
  </si>
  <si>
    <t>CN201010177344.1</t>
  </si>
  <si>
    <t>数字图像中基于梯度与颜色特征的直线自动匹配方法</t>
  </si>
  <si>
    <t>河南理工大学</t>
  </si>
  <si>
    <t>王志衡|刘红敏|薛霄|贾宗璞|贾利琴</t>
  </si>
  <si>
    <t>王志衡</t>
  </si>
  <si>
    <t>8.96</t>
  </si>
  <si>
    <t>CN201010141732.4</t>
  </si>
  <si>
    <t>多模可调谐CMOS差分低噪声放大器</t>
  </si>
  <si>
    <t>路守领|李波|韩科峰|杨姗姗|江雯|谭杰|王俊宇</t>
  </si>
  <si>
    <t>路守领</t>
  </si>
  <si>
    <t>2010/04/08</t>
  </si>
  <si>
    <t>6.32</t>
  </si>
  <si>
    <t>CN201480042528.3</t>
  </si>
  <si>
    <t>具有可配置的相互耦合的源极退化电感器的放大器</t>
  </si>
  <si>
    <t>金章|A·A·尤塞夫|L-C·常</t>
  </si>
  <si>
    <t>金章</t>
  </si>
  <si>
    <t>2014/07/30</t>
  </si>
  <si>
    <t>CN201010141347.X</t>
  </si>
  <si>
    <t>一种手机视频传输系统</t>
  </si>
  <si>
    <t>赵耀|黄晗|王安红|田华伟</t>
  </si>
  <si>
    <t>赵耀</t>
  </si>
  <si>
    <t>2010/04/06</t>
  </si>
  <si>
    <t>CN201380007160.2</t>
  </si>
  <si>
    <t>流传输与MAC层数据对齐的系统、方法和装置</t>
  </si>
  <si>
    <t>V·K·琼斯四世|D·S·金</t>
  </si>
  <si>
    <t>V·K·琼斯四世</t>
  </si>
  <si>
    <t>2013/01/18</t>
  </si>
  <si>
    <t>CN201010152949.5</t>
  </si>
  <si>
    <t>抑制小区间干扰的方法</t>
  </si>
  <si>
    <t>李云洲|冯伟|王京|周世东|肖利民</t>
  </si>
  <si>
    <t>李云洲</t>
  </si>
  <si>
    <t>2010/02/08</t>
  </si>
  <si>
    <t>13.85</t>
  </si>
  <si>
    <t>PCT/CN2013/00008.3</t>
  </si>
  <si>
    <t>Uci shift and new pusch timing to combat dl-ul interference in eimta</t>
  </si>
  <si>
    <t>Minghai Feng|Jiming Guo|Neng Wang|Chao Wei|Jilei Hou</t>
  </si>
  <si>
    <t>2014/07/31</t>
  </si>
  <si>
    <t>CN200880110562.4</t>
  </si>
  <si>
    <t>视频流处理设备及其控制方法、程序和记录介质</t>
  </si>
  <si>
    <t>国立大学法人大阪大学|夏普株式会社</t>
  </si>
  <si>
    <t>国立大学法人东京农工大学|夏普公司</t>
  </si>
  <si>
    <t>尾上孝雄|大原一人|渡部秀一|冈田浩行|中泽正幸</t>
  </si>
  <si>
    <t>尾上孝雄</t>
  </si>
  <si>
    <t>2008/08/08</t>
  </si>
  <si>
    <t>2010/09/01</t>
  </si>
  <si>
    <t>CN201010033870.0</t>
  </si>
  <si>
    <t>一种锁相环</t>
  </si>
  <si>
    <t>赵博|杨华中</t>
  </si>
  <si>
    <t>赵博</t>
  </si>
  <si>
    <t>2010/01/11</t>
  </si>
  <si>
    <t>2.7</t>
  </si>
  <si>
    <t>CN201280013240.4</t>
  </si>
  <si>
    <t>电荷泵静电放电保护</t>
  </si>
  <si>
    <t>A·斯里瓦斯塔瓦|E·R·沃克莱|G·缪|X·全</t>
  </si>
  <si>
    <t>A·斯里瓦斯塔瓦</t>
  </si>
  <si>
    <t>H03F  1/52</t>
  </si>
  <si>
    <t>CN201010137481.2</t>
  </si>
  <si>
    <t>一种工作在谐振TExδ01模式下的介质谐振天线</t>
  </si>
  <si>
    <t>高扬|张志军|陈文华|冯正和</t>
  </si>
  <si>
    <t>高扬</t>
  </si>
  <si>
    <t>2010/03/29</t>
  </si>
  <si>
    <t>2010/08/18</t>
  </si>
  <si>
    <t>H01Q  9/04</t>
  </si>
  <si>
    <t>0.60</t>
  </si>
  <si>
    <t>13/549,314</t>
  </si>
  <si>
    <t>Multi-band transmit antenna</t>
  </si>
  <si>
    <t>Kasturi; Sreenivas|Low; Zhen Ning</t>
  </si>
  <si>
    <t>Kasturi; Sreenivas</t>
  </si>
  <si>
    <t>2011/11/15</t>
  </si>
  <si>
    <t>2012/07/13</t>
  </si>
  <si>
    <t>CN201010116724.4</t>
  </si>
  <si>
    <t>一种无线网络的接入控制方法及装置</t>
  </si>
  <si>
    <t>纪红|梁中明|李皓明|阿塔尔·阿利雷扎</t>
  </si>
  <si>
    <t>纪红</t>
  </si>
  <si>
    <t>H04W 48/08</t>
  </si>
  <si>
    <t>12.32</t>
  </si>
  <si>
    <t>CN201180041015.7</t>
  </si>
  <si>
    <t>管理来自多个目的地的针对多用户MIMO传输的确认消息的装置和方法</t>
  </si>
  <si>
    <t>S·梅林|M·M·文廷克|S·P·亚伯拉罕</t>
  </si>
  <si>
    <t>S·梅林</t>
  </si>
  <si>
    <t>2011/08/25</t>
  </si>
  <si>
    <t>2016/09/07</t>
  </si>
  <si>
    <t>H04L  1/16</t>
  </si>
  <si>
    <t>CN201010102666.X</t>
  </si>
  <si>
    <t>一种OFDM/MIMO系统中资源分配的方法和装置</t>
  </si>
  <si>
    <t>彭木根|李莉|杨常青|王文博</t>
  </si>
  <si>
    <t>25.13</t>
  </si>
  <si>
    <t>CN201280032049.4</t>
  </si>
  <si>
    <t>周期性广播节点能用于解决对较小广播资源池的访问争用的方法和装置</t>
  </si>
  <si>
    <t>Y·王|S·萨布拉马尼安|X·吴|J·李|T·J·理查德森</t>
  </si>
  <si>
    <t>Y·王</t>
  </si>
  <si>
    <t>2017/05/31</t>
  </si>
  <si>
    <t>CN201010017151.X</t>
  </si>
  <si>
    <t>一种最大化动态频谱共享系统容量的次用户接入方法</t>
  </si>
  <si>
    <t>张晶|朱洪波</t>
  </si>
  <si>
    <t>张晶</t>
  </si>
  <si>
    <t>12.84</t>
  </si>
  <si>
    <t>CN201010104469.1</t>
  </si>
  <si>
    <t>长期预测编码和长期预测解码的方法和装置</t>
  </si>
  <si>
    <t>日本电信电话株式会社|国立大学法人东京大学</t>
  </si>
  <si>
    <t>日本电信电话株式会社|国立大学法人东京农工大学</t>
  </si>
  <si>
    <t>守谷健弘|原田登|镰本优|西本卓也|嵯峨山茂树</t>
  </si>
  <si>
    <t>守谷健弘</t>
  </si>
  <si>
    <t>CN201580016258.3</t>
  </si>
  <si>
    <t>使用多个子频带的高频带信号译码</t>
  </si>
  <si>
    <t>芬卡特拉曼·S·阿提|文卡特什·克里希南</t>
  </si>
  <si>
    <t>芬卡特拉曼·S·阿提</t>
  </si>
  <si>
    <t>2014/03/31</t>
  </si>
  <si>
    <t>CN201010124067.8</t>
  </si>
  <si>
    <t>基于图像块编码信息的智能滤波器设计方法</t>
  </si>
  <si>
    <t>朱金秀|曹宁|翟慧|陈玲|李莉</t>
  </si>
  <si>
    <t>朱金秀</t>
  </si>
  <si>
    <t>2010/03/15</t>
  </si>
  <si>
    <t>9.31</t>
  </si>
  <si>
    <t>CN201280053792.8</t>
  </si>
  <si>
    <t>用于译码视频数据的方法、装置及设备</t>
  </si>
  <si>
    <t>钟仁肃|桑吉弗·库马尔|马尔塔·卡切维奇</t>
  </si>
  <si>
    <t>钟仁肃</t>
  </si>
  <si>
    <t>2012/11/02</t>
  </si>
  <si>
    <t>CN200910244071.5</t>
  </si>
  <si>
    <t>视频编解码方法、装置和系统</t>
  </si>
  <si>
    <t>尹宝才|施云惠|孙晓伟|侯艳丽</t>
  </si>
  <si>
    <t>尹宝才</t>
  </si>
  <si>
    <t>2009/12/28</t>
  </si>
  <si>
    <t>2010/06/30</t>
  </si>
  <si>
    <t>CN200880021550.4</t>
  </si>
  <si>
    <t>认知无线电系统中的基于簇的协作谱感测</t>
  </si>
  <si>
    <t>孙春华|张伟|卡里德·本利泰夫</t>
  </si>
  <si>
    <t>孙春华</t>
  </si>
  <si>
    <t>2007/04/23</t>
  </si>
  <si>
    <t>2.40</t>
  </si>
  <si>
    <t>CN201180048685.1</t>
  </si>
  <si>
    <t>用于在认知无线电通信中将许可的频谱用于控制信道的方法和装置</t>
  </si>
  <si>
    <t>A·巴尔别里|D·P·马拉蒂|魏永斌|N·布尚|P·加尔</t>
  </si>
  <si>
    <t>A·巴尔别里</t>
  </si>
  <si>
    <t>2010/08/16</t>
  </si>
  <si>
    <t>CN200910073289.9</t>
  </si>
  <si>
    <t>基于环境感知的切普信号与余弦信号联合的信号调制和解调方法及其信号发射和接收方法</t>
  </si>
  <si>
    <t>沙学军|温容慧|迟永钢|吴宣利|吴少川|高玉龙|白旭</t>
  </si>
  <si>
    <t>沙学军</t>
  </si>
  <si>
    <t>2009/11/27</t>
  </si>
  <si>
    <t>H04L 27/227</t>
  </si>
  <si>
    <t>1.39</t>
  </si>
  <si>
    <t>CN200810227866.0</t>
  </si>
  <si>
    <t>业务传输处理方法、装置和系统</t>
  </si>
  <si>
    <t>尹亚伟|伍剑|洪小斌|易其亮</t>
  </si>
  <si>
    <t>尹亚伟</t>
  </si>
  <si>
    <t>2008/12/01</t>
  </si>
  <si>
    <t>PCT/CN2014/09237.2</t>
  </si>
  <si>
    <t>Mid-call qos update handling at a ue</t>
  </si>
  <si>
    <t>Min Wang|Ankith AGARWAL|Yueming TENG|Arungundram Chandrasekaran Mahendran|Radvajesh MUNIBYRAIAH|Shivani RATHORE|Tien-Hsin LEE|Yong Hou|Vikram Singh|Yi Cheng|Srinivasan Balasubramanian</t>
  </si>
  <si>
    <t>Min Wang</t>
  </si>
  <si>
    <t>2014/11/27</t>
  </si>
  <si>
    <t>2016/06/02</t>
  </si>
  <si>
    <t>CN200910242683.0</t>
  </si>
  <si>
    <t>一种医疗监护系统</t>
  </si>
  <si>
    <t>陈殿生|肖伟|冯玮|陈思|王田苗</t>
  </si>
  <si>
    <t>陈殿生</t>
  </si>
  <si>
    <t>2009/12/14</t>
  </si>
  <si>
    <t>2010/06/16</t>
  </si>
  <si>
    <t>A61B  5/0205</t>
  </si>
  <si>
    <t>10.43</t>
  </si>
  <si>
    <t>13/464,087</t>
  </si>
  <si>
    <t>Biometric attribute anomaly detection system with adjusting notifications</t>
  </si>
  <si>
    <t>Sprigg; Stephen A.|Gardner, III; Richard Wayne</t>
  </si>
  <si>
    <t>Sprigg; Stephen A.</t>
  </si>
  <si>
    <t>2012/05/04</t>
  </si>
  <si>
    <t>G08B  1/08</t>
  </si>
  <si>
    <t>CN200910217436.5</t>
  </si>
  <si>
    <t>基于Chirp信号的超宽带保密通信的信号发射和接收方法</t>
  </si>
  <si>
    <t>吴宣利|沙学军|邱昕|吴少川|迟永刚|白旭|高玉龙|沈清华</t>
  </si>
  <si>
    <t>吴宣利</t>
  </si>
  <si>
    <t>H04B  1/69</t>
  </si>
  <si>
    <t>0.57</t>
  </si>
  <si>
    <t>CN200910219831.7</t>
  </si>
  <si>
    <t>一种基于韧性估计和到达时间差的多基站二次定位方法</t>
  </si>
  <si>
    <t>大连理工大学</t>
  </si>
  <si>
    <t>赵泰洋|郭成安</t>
  </si>
  <si>
    <t>赵泰洋</t>
  </si>
  <si>
    <t>2009/11/10</t>
  </si>
  <si>
    <t>5.85</t>
  </si>
  <si>
    <t>CN200910227185.9</t>
  </si>
  <si>
    <t>一种基于负载平衡的CPU和GPU两级动态任务划分方法</t>
  </si>
  <si>
    <t>廖湘科|王锋|杨灿群|陈娟|杜云飞|易会战|黄春|赵克佳</t>
  </si>
  <si>
    <t>廖湘科</t>
  </si>
  <si>
    <t>2009/12/11</t>
  </si>
  <si>
    <t>2010/05/12</t>
  </si>
  <si>
    <t>13.83</t>
  </si>
  <si>
    <t>CN201280021937.6</t>
  </si>
  <si>
    <t>用于动态控制到便携式计算装置的多核心处理器中的多个核心的电力的方法和系统</t>
  </si>
  <si>
    <t>爱德华多·雷吉尼|博胡斯拉夫·雷赫利克</t>
  </si>
  <si>
    <t>爱德华多·雷吉尼</t>
  </si>
  <si>
    <t>2011/04/05</t>
  </si>
  <si>
    <t>2012/04/03</t>
  </si>
  <si>
    <t>CN200910153305.5</t>
  </si>
  <si>
    <t>一种网络身份认证系统及方法</t>
  </si>
  <si>
    <t>浙江师范大学</t>
  </si>
  <si>
    <t>朱信忠|赵建民|徐慧英|俞承永</t>
  </si>
  <si>
    <t>朱信忠</t>
  </si>
  <si>
    <t>2009/10/15</t>
  </si>
  <si>
    <t>38.26</t>
  </si>
  <si>
    <t>CN201180064183.8</t>
  </si>
  <si>
    <t>用于防范流氓证书的方法和装置</t>
  </si>
  <si>
    <t>C·M·布朗|C·W·诺斯维|J·M·帕瑟</t>
  </si>
  <si>
    <t>C·M·布朗</t>
  </si>
  <si>
    <t>2011/01/04</t>
  </si>
  <si>
    <t>CN200910186004.2</t>
  </si>
  <si>
    <t>一种MMIC InGaP HBT功率放大器</t>
  </si>
  <si>
    <t>华东交通大学</t>
  </si>
  <si>
    <t>刘海文|王  杉</t>
  </si>
  <si>
    <t>刘海文</t>
  </si>
  <si>
    <t>2009/09/09</t>
  </si>
  <si>
    <t>2010/03/10</t>
  </si>
  <si>
    <t>H03F  1/02</t>
  </si>
  <si>
    <t>12/376,738</t>
  </si>
  <si>
    <t>Ku-band diplexer</t>
  </si>
  <si>
    <t>Devereux; Jeff|Berger; Fritz Gerd|Johnston; William A.|Tassoudji; Mohammad Ali|Aldern; Scott</t>
  </si>
  <si>
    <t>Devereux; Jeff</t>
  </si>
  <si>
    <t>2006/09/07</t>
  </si>
  <si>
    <t>2007/09/07</t>
  </si>
  <si>
    <t>2013/06/25</t>
  </si>
  <si>
    <t>H01P</t>
  </si>
  <si>
    <t>H01P  3/08</t>
  </si>
  <si>
    <t>CN200910145090.2</t>
  </si>
  <si>
    <t>增强现实系统的立体头盔显示器</t>
  </si>
  <si>
    <t>高伟清|吕国强|周仕娥</t>
  </si>
  <si>
    <t>高伟清</t>
  </si>
  <si>
    <t>2009/09/27</t>
  </si>
  <si>
    <t>2010/03/03</t>
  </si>
  <si>
    <t>G02B 27/01</t>
  </si>
  <si>
    <t>4.22</t>
  </si>
  <si>
    <t>CN201180060360.5</t>
  </si>
  <si>
    <t>基于手持式装置中的眼睛俘获的增强现实处理</t>
  </si>
  <si>
    <t>太元·李</t>
  </si>
  <si>
    <t>2010/12/17</t>
  </si>
  <si>
    <t>2011/12/15</t>
  </si>
  <si>
    <t>2016/11/23</t>
  </si>
  <si>
    <t>G06K  9/22</t>
  </si>
  <si>
    <t>CN200910090416.6</t>
  </si>
  <si>
    <t>基于图像传感器网络的目标跟踪方法</t>
  </si>
  <si>
    <t>高德云|张宏科|牛延超|梁露露|郑  涛|王晓宁</t>
  </si>
  <si>
    <t>高德云</t>
  </si>
  <si>
    <t>13/689,933</t>
  </si>
  <si>
    <t>Image assistance for indoor positioning</t>
  </si>
  <si>
    <t>QUALCOMM Technologies International, LTD.</t>
  </si>
  <si>
    <t>Jarvis; Murray Robert</t>
  </si>
  <si>
    <t>CN200880002917.8</t>
  </si>
  <si>
    <t>控制访问计算机系统和注释媒体文件的方法和装置</t>
  </si>
  <si>
    <t>卡内基梅隆大学</t>
  </si>
  <si>
    <t>卢斯·范恩|迈纽尔·布拉姆|本杰明·D.·茂尔</t>
  </si>
  <si>
    <t>卢斯·范恩</t>
  </si>
  <si>
    <t>2007/01/23</t>
  </si>
  <si>
    <t>2.76</t>
  </si>
  <si>
    <t>CN201280039815.X</t>
  </si>
  <si>
    <t>使用CAPTCHA验证码的方法和装置</t>
  </si>
  <si>
    <t>L·肖|A·甘特曼</t>
  </si>
  <si>
    <t>L·肖</t>
  </si>
  <si>
    <t>G06F 21/36</t>
  </si>
  <si>
    <t>CN200880005264.9</t>
  </si>
  <si>
    <t>道路地物测量装置、地物识别装置、道路地物测量方法、道路地物测量程序、测量装置、测量方法、测量程序、测量位置数据、测量终端装置、测量服务器装置、作图装置、作图方法、作图程序以及作图数据</t>
  </si>
  <si>
    <t>三菱电机株式会社|学校法人早稻田大学</t>
  </si>
  <si>
    <t>三菱株式会社|学校法人早稻田大学</t>
  </si>
  <si>
    <t>泷口纯一|梶原尚幸|岛嘉宏|黑崎隆二郎|桥诘匠</t>
  </si>
  <si>
    <t>泷口纯一</t>
  </si>
  <si>
    <t>2007/02/16</t>
  </si>
  <si>
    <t>2008/02/15</t>
  </si>
  <si>
    <t>2009/12/30</t>
  </si>
  <si>
    <t>G01C 11/00</t>
  </si>
  <si>
    <t>6.95</t>
  </si>
  <si>
    <t>CN201280046032.4</t>
  </si>
  <si>
    <t>用于室内定位的徽标检测</t>
  </si>
  <si>
    <t>辉·赵|胡楠|萨乌米特拉·莫汉·达斯|拉贾什·古普塔</t>
  </si>
  <si>
    <t>辉·赵</t>
  </si>
  <si>
    <t>2011/08/19</t>
  </si>
  <si>
    <t>2012/08/08</t>
  </si>
  <si>
    <t>G01C 21/36</t>
  </si>
  <si>
    <t>CN200910150705.0</t>
  </si>
  <si>
    <t>一种恶意程序判断方法及装置</t>
  </si>
  <si>
    <t>成都市华为赛门铁克科技有限公司|电子科技大学</t>
  </si>
  <si>
    <t>华为技术有限公司|电子科技大学</t>
  </si>
  <si>
    <t>顾凌志|张小松</t>
  </si>
  <si>
    <t>顾凌志</t>
  </si>
  <si>
    <t>26.43</t>
  </si>
  <si>
    <t>CN201380018927.1</t>
  </si>
  <si>
    <t>用于移动站中的恶意活动检测的方法</t>
  </si>
  <si>
    <t>拉贾什·古普塔|萨乌米特拉·莫汉·达斯</t>
  </si>
  <si>
    <t>拉贾什·古普塔</t>
  </si>
  <si>
    <t>2012/04/10</t>
  </si>
  <si>
    <t>2013/04/08</t>
  </si>
  <si>
    <t>CN200910134614.8</t>
  </si>
  <si>
    <t>处理切换的方法</t>
  </si>
  <si>
    <t>三星电子株式会社|高丽大学校产学协力团</t>
  </si>
  <si>
    <t>三星电子株式会社|高丽大学校</t>
  </si>
  <si>
    <t>金晟基|吴润济|朴泰诚|高圣济|金慧秀</t>
  </si>
  <si>
    <t>金晟基</t>
  </si>
  <si>
    <t>2008/02/29</t>
  </si>
  <si>
    <t>2009/03/02</t>
  </si>
  <si>
    <t>3.84</t>
  </si>
  <si>
    <t>PCT/CN2014/09361.0</t>
  </si>
  <si>
    <t>Neighbor cell measurements for high-speed user equipment</t>
  </si>
  <si>
    <t>Ming Yang|Hui Zhao|Xiaoping Wu|Yilan SUN</t>
  </si>
  <si>
    <t>Ming Yang</t>
  </si>
  <si>
    <t>2016/06/16</t>
  </si>
  <si>
    <t>CN200910103862.6</t>
  </si>
  <si>
    <t>一种无线mesh网络中的信道分配方法</t>
  </si>
  <si>
    <t>胡致远|刘国金|黄天聪|苏家勇|唐  军|郭建丁|邓建良</t>
  </si>
  <si>
    <t>胡致远</t>
  </si>
  <si>
    <t>23.32</t>
  </si>
  <si>
    <t>12/940,268</t>
  </si>
  <si>
    <t>Methods and apparatus for resource allocations to support peer-to-peer communications in cellular networks</t>
  </si>
  <si>
    <t>Li; Junyi|Wang; Hua|Patel; Shailesh|Wu; Xinzhou</t>
  </si>
  <si>
    <t>CN200910059162.1</t>
  </si>
  <si>
    <t>TD-SCDMA通信系统接收同步中基于差分相位的频偏与相位估计方法</t>
  </si>
  <si>
    <t>陈庆春|周  明|刘  恒|马  征|郝  莉|范平志</t>
  </si>
  <si>
    <t>陈庆春</t>
  </si>
  <si>
    <t>2009/04/30</t>
  </si>
  <si>
    <t>2009/10/07</t>
  </si>
  <si>
    <t>11.14</t>
  </si>
  <si>
    <t>PCT/CN2014/07932.9</t>
  </si>
  <si>
    <t>Methods and apparatus for doppler spread estimation in a wireless communication system</t>
  </si>
  <si>
    <t>Jia Tang|Insung Kang|Lan LAN</t>
  </si>
  <si>
    <t>Jia Tang</t>
  </si>
  <si>
    <t>2014/06/06</t>
  </si>
  <si>
    <t>2015/12/10</t>
  </si>
  <si>
    <t>CN200910029240.3</t>
  </si>
  <si>
    <t>基于有限反馈的协作中继波束形成方法</t>
  </si>
  <si>
    <t>2009/04/07</t>
  </si>
  <si>
    <t>6.75</t>
  </si>
  <si>
    <t>CN200820203382.8</t>
  </si>
  <si>
    <t>一种体内微机电系统无线能量传输装置</t>
  </si>
  <si>
    <t>黄  平|刘修泉|江伟雄</t>
  </si>
  <si>
    <t>黄  平</t>
  </si>
  <si>
    <t>2008/11/14</t>
  </si>
  <si>
    <t>2.28</t>
  </si>
  <si>
    <t>EP20160153906</t>
  </si>
  <si>
    <t>Systems, methods, and apparatus for a high power factor single phase rectifier</t>
  </si>
  <si>
    <t>Linda S. Irish</t>
  </si>
  <si>
    <t>2011/11/17</t>
  </si>
  <si>
    <t>2012/11/13</t>
  </si>
  <si>
    <t>H02M  1/42</t>
  </si>
  <si>
    <t>CN200910030728.8</t>
  </si>
  <si>
    <t>基于H.264的立体视频编解码方法</t>
  </si>
  <si>
    <t>季晓勇|高民芳|刘  芳|蒋  里|刘  栩|孙  立|鲁昊明|杨晓琴|黄前山|陈智勇</t>
  </si>
  <si>
    <t>季晓勇</t>
  </si>
  <si>
    <t>2009/09/23</t>
  </si>
  <si>
    <t>7.50</t>
  </si>
  <si>
    <t>CN200780040849.X</t>
  </si>
  <si>
    <t>图像识别方法、图像识别装置以及图像识别程序</t>
  </si>
  <si>
    <t>公立大学法人大阪府立大学</t>
  </si>
  <si>
    <t>野口和人|黄濑浩一|岩村雅一</t>
  </si>
  <si>
    <t>野口和人</t>
  </si>
  <si>
    <t>2006/08/31</t>
  </si>
  <si>
    <t>2007/08/01</t>
  </si>
  <si>
    <t>2009/09/16</t>
  </si>
  <si>
    <t>6.97</t>
  </si>
  <si>
    <t>13/090,180</t>
  </si>
  <si>
    <t>Efficient descriptor extraction over multiple levels of an image scale space</t>
  </si>
  <si>
    <t>Hamsici; Onur C.|Hong; John H.|Reznik; Yuriy|Vaddadi; Sundeep|Lee; Chong Uk.</t>
  </si>
  <si>
    <t>Hamsici; Onur C.</t>
  </si>
  <si>
    <t>CN200910071733.3</t>
  </si>
  <si>
    <t>基于单轴旋转的光纤陀螺捷联惯性导航系统误差抑制方法</t>
  </si>
  <si>
    <t>孙  枫|孙  伟|张  鑫|高  伟|奔粤阳|柴永利|王文静|孙巧英|李国强|赵彦雷</t>
  </si>
  <si>
    <t>孙  枫</t>
  </si>
  <si>
    <t>2009/04/08</t>
  </si>
  <si>
    <t>G01C 21/16</t>
  </si>
  <si>
    <t>21.89</t>
  </si>
  <si>
    <t>13/767,838</t>
  </si>
  <si>
    <t>Method for aligning a mobile device surface with the coordinate system of a sensor</t>
  </si>
  <si>
    <t>Ramachandran; Mahesh|Ramanandan; Arvind|Brunner; Christopher|Chari; Murali Ramaswamy</t>
  </si>
  <si>
    <t>Ramachandran; Mahesh</t>
  </si>
  <si>
    <t>2017/07/25</t>
  </si>
  <si>
    <t>G01P 21/00</t>
  </si>
  <si>
    <t>CN200910021617.0</t>
  </si>
  <si>
    <t>基于网格的立体视频空间可分级编码器及其编码方法</t>
  </si>
  <si>
    <t>卢朝阳|胡星星|郭大波|焦卫东|韩军功|高全学|李  静</t>
  </si>
  <si>
    <t>卢朝阳</t>
  </si>
  <si>
    <t>2009/03/20</t>
  </si>
  <si>
    <t>2009/08/19</t>
  </si>
  <si>
    <t>9.50</t>
  </si>
  <si>
    <t>PCT/CN2014/07677.7</t>
  </si>
  <si>
    <t>Aligning disparity vector for advanced residual prediction and inter-view motion prediction in3d-hevc</t>
  </si>
  <si>
    <t>2015/11/12</t>
  </si>
  <si>
    <t>H04N 19/103</t>
  </si>
  <si>
    <t>CN200910007154.2</t>
  </si>
  <si>
    <t>无线通信装置和无线通信方法</t>
  </si>
  <si>
    <t>株式会社NTT都科摩|国立大学法人东京工业大学</t>
  </si>
  <si>
    <t>ntt通信公司|国立大学法人东京农工大学</t>
  </si>
  <si>
    <t>大渡裕介|浅井孝浩|须山聪|铃木博|府川和彦</t>
  </si>
  <si>
    <t>大渡裕介</t>
  </si>
  <si>
    <t>2009/02/13</t>
  </si>
  <si>
    <t>CN201180022349.X</t>
  </si>
  <si>
    <t>用于优化码元之间的功率分配的方法和装置</t>
  </si>
  <si>
    <t>K·巴塔德|P·盖尔</t>
  </si>
  <si>
    <t>K·巴塔德</t>
  </si>
  <si>
    <t>4.83</t>
  </si>
  <si>
    <t>CN200910066434.0</t>
  </si>
  <si>
    <t>智能盲人导航眼镜</t>
  </si>
  <si>
    <t>长春大学</t>
  </si>
  <si>
    <t>王丽荣|张化勋|李  杰|李占国|陈岱民|王爱国</t>
  </si>
  <si>
    <t>王丽荣</t>
  </si>
  <si>
    <t>G02C</t>
  </si>
  <si>
    <t>G02C 11/00</t>
  </si>
  <si>
    <t>3.18</t>
  </si>
  <si>
    <t>CN201280004668.2</t>
  </si>
  <si>
    <t>启用相机的用于导航的耳机</t>
  </si>
  <si>
    <t>D·G·法默|L·G·冈德森</t>
  </si>
  <si>
    <t>D·G·法默</t>
  </si>
  <si>
    <t>CN200810147908.X</t>
  </si>
  <si>
    <t>一种直耦杯状微波馈能天线及其阵列微波加热装置</t>
  </si>
  <si>
    <t>电子科技大学|美的集团有限公司</t>
  </si>
  <si>
    <t>黎晓云|李承跃|张兆镗</t>
  </si>
  <si>
    <t>黎晓云</t>
  </si>
  <si>
    <t>2008/12/17</t>
  </si>
  <si>
    <t>2009/05/27</t>
  </si>
  <si>
    <t>H05B  6/72</t>
  </si>
  <si>
    <t>0.71</t>
  </si>
  <si>
    <t>CN200810232717.3</t>
  </si>
  <si>
    <t>WiMAX中保证QoS的跨层架构及其QoS联合控制方法</t>
  </si>
  <si>
    <t>李建东|陈  婷|邓少平|李长乐|李  钊|孙晓艳</t>
  </si>
  <si>
    <t>李建东</t>
  </si>
  <si>
    <t>2008/12/19</t>
  </si>
  <si>
    <t>2009/05/13</t>
  </si>
  <si>
    <t>PCT/CN2010/07934.4</t>
  </si>
  <si>
    <t>Methods and apparatus to generate a channel quality indicator with filtered interence in td-hsdpa systems</t>
  </si>
  <si>
    <t>Ruiming Zheng|Jianqiang Zhang|Mingxi Fan|Jiming Guo</t>
  </si>
  <si>
    <t>Ruiming Zheng</t>
  </si>
  <si>
    <t>2010/12/01</t>
  </si>
  <si>
    <t>2012/06/07</t>
  </si>
  <si>
    <t>CN200810236751.8</t>
  </si>
  <si>
    <t>一种新型结构的低压差线性稳压器</t>
  </si>
  <si>
    <t>江金光|张提升|刘经南</t>
  </si>
  <si>
    <t>江金光</t>
  </si>
  <si>
    <t>2009/04/29</t>
  </si>
  <si>
    <t>17.26</t>
  </si>
  <si>
    <t>13/278,294</t>
  </si>
  <si>
    <t>System and method to regulate voltage</t>
  </si>
  <si>
    <t>Zhang; Junmou|Pan; Yuan-Cheng|Popovich; Mikhail</t>
  </si>
  <si>
    <t>Zhang; Junmou</t>
  </si>
  <si>
    <t>G05F  1/00</t>
  </si>
  <si>
    <t>CN200810233204.4</t>
  </si>
  <si>
    <t>一种利用协作分集增强WiMAX上行性能的方法</t>
  </si>
  <si>
    <t>谢显中|李  皓</t>
  </si>
  <si>
    <t>谢显中</t>
  </si>
  <si>
    <t>2008/12/03</t>
  </si>
  <si>
    <t>12/482,862</t>
  </si>
  <si>
    <t>Multiband antenna for cooperative MIMO</t>
  </si>
  <si>
    <t>Nagaraja; Nagendra</t>
  </si>
  <si>
    <t>CN200710175764.4</t>
  </si>
  <si>
    <t>一种流媒体数据发送接收方法、装置及系统</t>
  </si>
  <si>
    <t>北京大学|北大方正集团有限公司|北京北大方正电子有限公司</t>
  </si>
  <si>
    <t>北京大学|北大方正集团有限公司|北大方正集团有限公司</t>
  </si>
  <si>
    <t>庞  燕|郭宗明</t>
  </si>
  <si>
    <t>庞  燕</t>
  </si>
  <si>
    <t>2007/10/11</t>
  </si>
  <si>
    <t>H04L 12/18</t>
  </si>
  <si>
    <t>3.42</t>
  </si>
  <si>
    <t>14/878,694</t>
  </si>
  <si>
    <t>Enhanced block-request streaming using cooperative parallel HTTP and forward error correction</t>
  </si>
  <si>
    <t>Luby; Michael|Wang; Bin|Watson; Mark|Vicisano; Lorenzo|Pakzad; Payam</t>
  </si>
  <si>
    <t>Luby; Michael</t>
  </si>
  <si>
    <t>2009/09/22</t>
  </si>
  <si>
    <t>CN200780007336.9</t>
  </si>
  <si>
    <t>由2D图像实现3D人脸重建</t>
  </si>
  <si>
    <t>南加利福尼亚大学</t>
  </si>
  <si>
    <t>杰勒德·麦迪尼|道格拉斯·费德洛</t>
  </si>
  <si>
    <t>杰勒德·麦迪尼</t>
  </si>
  <si>
    <t>2006/01/31</t>
  </si>
  <si>
    <t>0.79</t>
  </si>
  <si>
    <t>13/673,681</t>
  </si>
  <si>
    <t>Mobile device configured to compute 3D models based on motion sensor data</t>
  </si>
  <si>
    <t>Qi; Yingyong|Yang; Ruiduo|Sundaresan; Sairam</t>
  </si>
  <si>
    <t>2012/01/26</t>
  </si>
  <si>
    <t>2012/11/09</t>
  </si>
  <si>
    <t>2017/05/02</t>
  </si>
  <si>
    <t>CN200810231895.4</t>
  </si>
  <si>
    <t>一种基于socket的容错计算机系统的网络同步方法</t>
  </si>
  <si>
    <t>董小社|胡  冰|孙江斌|王  钊|赵晓昳|伍卫国|田  佳|雷济凯</t>
  </si>
  <si>
    <t>董小社</t>
  </si>
  <si>
    <t>2009/03/11</t>
  </si>
  <si>
    <t>H04L  1/22</t>
  </si>
  <si>
    <t>4.23</t>
  </si>
  <si>
    <t>CN200820111620.2</t>
  </si>
  <si>
    <t>具有单级功率因子校正电路的返驰式转换装置</t>
  </si>
  <si>
    <t>力信兴业股份有限公司|浙江大学</t>
  </si>
  <si>
    <t>马  皓|徐  晔</t>
  </si>
  <si>
    <t>马  皓</t>
  </si>
  <si>
    <t>2008/05/16</t>
  </si>
  <si>
    <t>CN201280056887.5</t>
  </si>
  <si>
    <t>用于高功率因数单相整流器的系统、方法和设备</t>
  </si>
  <si>
    <t>琳达·S·艾里什</t>
  </si>
  <si>
    <t>H02M  7/06</t>
  </si>
  <si>
    <t>CN200810161597.2</t>
  </si>
  <si>
    <t>一种立体电视系统中深度图像编码方法</t>
  </si>
  <si>
    <t>许士芳|雷  杰|刘济林</t>
  </si>
  <si>
    <t>许士芳</t>
  </si>
  <si>
    <t>2008/09/23</t>
  </si>
  <si>
    <t>2009/02/11</t>
  </si>
  <si>
    <t>1.69</t>
  </si>
  <si>
    <t>CN200810156115.4</t>
  </si>
  <si>
    <t>基于时分同步码分多址的自组织网络切换的实现方法</t>
  </si>
  <si>
    <t>熊猫电子集团有限公司|东南大学|南京东大移动互联技术有限公司|南京联慧通信技术有限公司</t>
  </si>
  <si>
    <t>熊猫电子集团有限公司|东南大学|南京东大宽带通信技术有限公司|南京联慧通信技术有限公司</t>
  </si>
  <si>
    <t>朱立锋|许  波|牟中平|沈连丰|夏玮玮|宋铁成|倪  铭</t>
  </si>
  <si>
    <t>朱立锋</t>
  </si>
  <si>
    <t>2008/09/28</t>
  </si>
  <si>
    <t>2009/02/04</t>
  </si>
  <si>
    <t>2.10</t>
  </si>
  <si>
    <t>PCT/CN2014/07279.7</t>
  </si>
  <si>
    <t>Apparatus and methods for handover in td-scdma</t>
  </si>
  <si>
    <t>Yong Xie|Yizhen Yang|Weijin RAO|Xuqiang ZHANG|Xiaoyu Li|Chao JIN</t>
  </si>
  <si>
    <t>Yong Xie</t>
  </si>
  <si>
    <t>CN200810119043.6</t>
  </si>
  <si>
    <t>适用于OFDM系统的同步与信道响应估计方法</t>
  </si>
  <si>
    <t>李  旭|刘  桓</t>
  </si>
  <si>
    <t>李  旭</t>
  </si>
  <si>
    <t>16.46</t>
  </si>
  <si>
    <t>CN201280029554.3</t>
  </si>
  <si>
    <t>用于千兆赫以下频带中的无线通信的范围扩展的系统和方法</t>
  </si>
  <si>
    <t>M·H·塔格哈弗 纳斯拉巴蒂|H·萨姆帕斯|V·K·琼斯</t>
  </si>
  <si>
    <t>M·H·塔格哈弗 纳斯拉巴蒂</t>
  </si>
  <si>
    <t>2011/04/15</t>
  </si>
  <si>
    <t>2012/04/16</t>
  </si>
  <si>
    <t>2016/12/21</t>
  </si>
  <si>
    <t>H04L  7/04</t>
  </si>
  <si>
    <t>CN200710122838.8</t>
  </si>
  <si>
    <t>利用变换和运动补偿的场景转换图像增强处理方法及系统</t>
  </si>
  <si>
    <t>北京大学软件与微电子学院</t>
  </si>
  <si>
    <t>曹喜信|于敦山|张  兴</t>
  </si>
  <si>
    <t>曹喜信</t>
  </si>
  <si>
    <t>2007/07/06</t>
  </si>
  <si>
    <t>CN200810070022.X</t>
  </si>
  <si>
    <t>工业无线网络的精确时间同步方法</t>
  </si>
  <si>
    <t>王  恒|王  平|刘渝灿|王  飞|金基天</t>
  </si>
  <si>
    <t>王  恒</t>
  </si>
  <si>
    <t>13.10</t>
  </si>
  <si>
    <t>CN200910057339.4</t>
  </si>
  <si>
    <t>网络时钟戳同步的方法</t>
  </si>
  <si>
    <t>刘梅苍|宋永明|李珂</t>
  </si>
  <si>
    <t>刘梅苍</t>
  </si>
  <si>
    <t>2009/06/01</t>
  </si>
  <si>
    <t>2013/07/17</t>
  </si>
  <si>
    <t>H04L  7/00</t>
  </si>
  <si>
    <t>CN200810032423.6</t>
  </si>
  <si>
    <t>服务质量限定条件下基于容量的发射端优化方法和装置</t>
  </si>
  <si>
    <t>上海交通大学|夏普株式会社</t>
  </si>
  <si>
    <t>上海交通大学|夏普公司</t>
  </si>
  <si>
    <t>佘  锋|陈  磊|王  欣|罗汉文|梁永明</t>
  </si>
  <si>
    <t>佘  锋</t>
  </si>
  <si>
    <t>2008/01/08</t>
  </si>
  <si>
    <t>CN200810114636.3</t>
  </si>
  <si>
    <t>用于TD-SCDMA系统下行信号的载波检测方法</t>
  </si>
  <si>
    <t>牛  凯|林家儒|徐文波|汪  滢</t>
  </si>
  <si>
    <t>牛  凯</t>
  </si>
  <si>
    <t>2008/06/11</t>
  </si>
  <si>
    <t>2008/10/22</t>
  </si>
  <si>
    <t>1.96</t>
  </si>
  <si>
    <t>CN200910056967.0</t>
  </si>
  <si>
    <t>具有相关特性的帧检测系统中获得帧同步的方法</t>
  </si>
  <si>
    <t>高通创锐讯企业管理(上海)有限公司</t>
  </si>
  <si>
    <t>倪小英|聂红儿</t>
  </si>
  <si>
    <t>倪小英</t>
  </si>
  <si>
    <t>CN200810111774.6</t>
  </si>
  <si>
    <t>基于实时人机对话的平面视频转立体视频的方法</t>
  </si>
  <si>
    <t>戴琼海|尤志翔|刘继明</t>
  </si>
  <si>
    <t>10.69</t>
  </si>
  <si>
    <t>CN201380015702.0</t>
  </si>
  <si>
    <t>图像增强</t>
  </si>
  <si>
    <t>瓦苏德弗·巴斯卡兰</t>
  </si>
  <si>
    <t>2012/03/22</t>
  </si>
  <si>
    <t>2013/02/20</t>
  </si>
  <si>
    <t>CN200810062166.0</t>
  </si>
  <si>
    <t>基于数据划分的多线程共享多核处理器二级缓存的方法</t>
  </si>
  <si>
    <t>陈天洲|胡  威|施青松|严力科|谢  斌|黄江伟|章铁飞|冯德贵|项凌祥|蒋冠军</t>
  </si>
  <si>
    <t>2008/06/03</t>
  </si>
  <si>
    <t>G06F 12/08</t>
  </si>
  <si>
    <t>3.31</t>
  </si>
  <si>
    <t>CN201380023546.2</t>
  </si>
  <si>
    <t>用于更新共享高速缓冲存储器的方法和多线程处理系统</t>
  </si>
  <si>
    <t>克里斯托弗·爱德华·科布|阿贾伊·阿南特·英格尔|卢奇安·科德雷斯库|苏雷什·K·文库马汉提</t>
  </si>
  <si>
    <t>2012/05/08</t>
  </si>
  <si>
    <t>G06F 12/0842</t>
  </si>
  <si>
    <t>CN200810056808.6</t>
  </si>
  <si>
    <t>在多用户终端MIMO系统中预编码方法和系统</t>
  </si>
  <si>
    <t>北京邮电大学|富士通株式会社</t>
  </si>
  <si>
    <t>李立华|张  平|方  舒|武  平|陶小峰|周  华</t>
  </si>
  <si>
    <t>李立华</t>
  </si>
  <si>
    <t>2008/01/24</t>
  </si>
  <si>
    <t>28.76</t>
  </si>
  <si>
    <t>12/822,086</t>
  </si>
  <si>
    <t>Open loop channel reporting in a wireless communication system</t>
  </si>
  <si>
    <t>Gorokhov; Alexei Yurievitch|Gaal; Peter</t>
  </si>
  <si>
    <t>Gorokhov; Alexei Yurievitch</t>
  </si>
  <si>
    <t>2009/06/29</t>
  </si>
  <si>
    <t>CN200810016212.3</t>
  </si>
  <si>
    <t>基于自适应编码调制的自适应协作重传方法</t>
  </si>
  <si>
    <t>袁东风|史斐谨</t>
  </si>
  <si>
    <t>2008/10/08</t>
  </si>
  <si>
    <t>24.69</t>
  </si>
  <si>
    <t>12/578,056</t>
  </si>
  <si>
    <t>Method and apparatus for uplink network MIMO in a wireless communication system</t>
  </si>
  <si>
    <t>Gorokhov; Alexei Y.|Palanki; Ravi</t>
  </si>
  <si>
    <t>2008/10/24</t>
  </si>
  <si>
    <t>2009/10/13</t>
  </si>
  <si>
    <t>H04J  1/10</t>
  </si>
  <si>
    <t>CN200810014995.1</t>
  </si>
  <si>
    <t>基于Ad-hoc网络技术的NLOS定位误差消除方法</t>
  </si>
  <si>
    <t>刘  琚|薛  林|陈素梅|孙建德</t>
  </si>
  <si>
    <t>刘  琚</t>
  </si>
  <si>
    <t>CN200810106662.1</t>
  </si>
  <si>
    <t>里德所罗门码解码器硬件复用方法及其低硬件复杂度解码装置</t>
  </si>
  <si>
    <t>杨知行|江  南|彭克武|张  彧|宋  健</t>
  </si>
  <si>
    <t>2008/10/01</t>
  </si>
  <si>
    <t>CN200810098881.X</t>
  </si>
  <si>
    <t>功率可控制的分布式CDMA网络媒体接入控制方法</t>
  </si>
  <si>
    <t>中国人民解放军理工大学|东南大学</t>
  </si>
  <si>
    <t>聂景楠|孙诗东</t>
  </si>
  <si>
    <t>聂景楠</t>
  </si>
  <si>
    <t>0.96</t>
  </si>
  <si>
    <t>13/397,473</t>
  </si>
  <si>
    <t>Managing transmit power for better frequency re-use in TV white space</t>
  </si>
  <si>
    <t>Abraham; Santosh Paul|Vermani; Sameer|Sampath; Hemanth|Shellhammer; Stephen J.|Tandra; Rahul</t>
  </si>
  <si>
    <t>CN200710028799.5</t>
  </si>
  <si>
    <t>一种实现数字家庭设备间多协议互联互通的适配器及其方法</t>
  </si>
  <si>
    <t>广东中大讯通软件科技有限公司|中山大学</t>
  </si>
  <si>
    <t>徐  昊|周  凡|罗笑南</t>
  </si>
  <si>
    <t>徐  昊</t>
  </si>
  <si>
    <t>2007/06/25</t>
  </si>
  <si>
    <t>4.36</t>
  </si>
  <si>
    <t>CN200980140971.3</t>
  </si>
  <si>
    <t>使用无线汇聚平台来提供便携式宽带服务的装置和方法</t>
  </si>
  <si>
    <t>R·D·拉詹|A·J·贝蒂|R·S·库伦卡尔|K·唐</t>
  </si>
  <si>
    <t>R·D·拉詹</t>
  </si>
  <si>
    <t>2008/10/17</t>
  </si>
  <si>
    <t>2009/10/19</t>
  </si>
  <si>
    <t>2015/06/24</t>
  </si>
  <si>
    <t>CN200810095065.3</t>
  </si>
  <si>
    <t>介质访问控制协议生成方法、节点通信方法、装置及系统</t>
  </si>
  <si>
    <t>中国人民解放军信息工程大学</t>
  </si>
  <si>
    <t>李  青|于宏毅|张效义|李  鸥|张大龙</t>
  </si>
  <si>
    <t>李  青</t>
  </si>
  <si>
    <t>2008/04/28</t>
  </si>
  <si>
    <t>2008/09/17</t>
  </si>
  <si>
    <t>CN201080008027.5</t>
  </si>
  <si>
    <t>使移动站从功率节省模式苏醒以接收MAC管理消息</t>
  </si>
  <si>
    <t>S·D·程|P·林|F·胡</t>
  </si>
  <si>
    <t>S·D·程</t>
  </si>
  <si>
    <t>CN200810034568.X</t>
  </si>
  <si>
    <t>高速单载波频域均衡超宽带系统的信道估计方法</t>
  </si>
  <si>
    <t>蒋铃鸽|王  丹|何  晨</t>
  </si>
  <si>
    <t>蒋铃鸽</t>
  </si>
  <si>
    <t>2008/03/13</t>
  </si>
  <si>
    <t>5.44</t>
  </si>
  <si>
    <t>CN200810033996.0</t>
  </si>
  <si>
    <t>基于差分全球定位系统的无线节点相对定位方法</t>
  </si>
  <si>
    <t>陈佳品|双  兵|李振波</t>
  </si>
  <si>
    <t>陈佳品</t>
  </si>
  <si>
    <t>2008/02/28</t>
  </si>
  <si>
    <t>2008/07/30</t>
  </si>
  <si>
    <t>1.0</t>
  </si>
  <si>
    <t>CN201080009617.X</t>
  </si>
  <si>
    <t>在载波相位的相对定位过程中求解发射时间不确定度</t>
  </si>
  <si>
    <t>L·J·加林</t>
  </si>
  <si>
    <t>2010/01/15</t>
  </si>
  <si>
    <t>2015/07/08</t>
  </si>
  <si>
    <t>CN200710062943.7</t>
  </si>
  <si>
    <t>一种自动计算互联网上主题演化趋势的方法及系统</t>
  </si>
  <si>
    <t>北大方正集团有限公司|北京大学|北京北大方正技术研究院有限公司</t>
  </si>
  <si>
    <t>北大方正集团有限公司|北京大学|北大方正集团有限公司</t>
  </si>
  <si>
    <t>万小军|冯  涛|黄小江|杨  霙|杨建武|吴於茜|路  斌</t>
  </si>
  <si>
    <t>万小军</t>
  </si>
  <si>
    <t>2007/01/22</t>
  </si>
  <si>
    <t>11.67</t>
  </si>
  <si>
    <t>CN201180050446.X</t>
  </si>
  <si>
    <t>用于呈现交互信息的设备和方法</t>
  </si>
  <si>
    <t>乔纳森·K·基斯|布赖恩·迈尼尔</t>
  </si>
  <si>
    <t>乔纳森·K·基斯</t>
  </si>
  <si>
    <t>2010/09/28</t>
  </si>
  <si>
    <t>2011/09/27</t>
  </si>
  <si>
    <t>2017/08/08</t>
  </si>
  <si>
    <t>CN200810057411.9</t>
  </si>
  <si>
    <t>具有特征标志的编码方法</t>
  </si>
  <si>
    <t>陆建华|谢旭东|裴玉奎</t>
  </si>
  <si>
    <t>陆建华</t>
  </si>
  <si>
    <t>2008/07/16</t>
  </si>
  <si>
    <t>13/484,068</t>
  </si>
  <si>
    <t>Run-mode based coefficient coding for video coding</t>
  </si>
  <si>
    <t>Guo; Liwei|Karczewicz; Marta|Wang; Xianglin</t>
  </si>
  <si>
    <t>Guo; Liwei</t>
  </si>
  <si>
    <t>2016/11/08</t>
  </si>
  <si>
    <t>CN200710178396.9</t>
  </si>
  <si>
    <t>基于用户位置实时播报交通信息的网络电台系统</t>
  </si>
  <si>
    <t>吕卫锋|卢旭辉|诸彤宇</t>
  </si>
  <si>
    <t>吕卫锋</t>
  </si>
  <si>
    <t>H04H 20/55</t>
  </si>
  <si>
    <t>12/851,426</t>
  </si>
  <si>
    <t>Hierarchical information dissemination for location based systems</t>
  </si>
  <si>
    <t>2009/12/09</t>
  </si>
  <si>
    <t>CN200710304245.3</t>
  </si>
  <si>
    <t>视频增强现实辅助操作的焊接防护头盔</t>
  </si>
  <si>
    <t>师国伟|王涌天|陈  靖|常  军</t>
  </si>
  <si>
    <t>师国伟</t>
  </si>
  <si>
    <t>2007/12/26</t>
  </si>
  <si>
    <t>A61F</t>
  </si>
  <si>
    <t>A61F  9/06</t>
  </si>
  <si>
    <t>5.54</t>
  </si>
  <si>
    <t>CN200680024102.0</t>
  </si>
  <si>
    <t>利用编解码器的辅助信息进行视频质量测量的系统和方法</t>
  </si>
  <si>
    <t>SK泰力康姆株式会社|延世大学校 产学协力团</t>
  </si>
  <si>
    <t>SK泰力康姆株式会社|延世大学工业大学协力团</t>
  </si>
  <si>
    <t>李尚雨|李哲熙|蔡尚昊|朴铉仲|李重润</t>
  </si>
  <si>
    <t>李尚雨</t>
  </si>
  <si>
    <t>2005/05/30</t>
  </si>
  <si>
    <t>2006/05/30</t>
  </si>
  <si>
    <t>H04N 17/00</t>
  </si>
  <si>
    <t>10.63</t>
  </si>
  <si>
    <t>14/050,740</t>
  </si>
  <si>
    <t>Method, apparatus and system for evaluating quality of video streams</t>
  </si>
  <si>
    <t>SNAPTRACK, INC.</t>
  </si>
  <si>
    <t>Xie; Qingpeng|Yang; Fuzheng|Wan; Shuai</t>
  </si>
  <si>
    <t>Xie; Qingpeng</t>
  </si>
  <si>
    <t>2008/07/10</t>
  </si>
  <si>
    <t>2013/10/10</t>
  </si>
  <si>
    <t>CN200610161041.4</t>
  </si>
  <si>
    <t>一种视频编码方法、解码方法及其装置</t>
  </si>
  <si>
    <t>武燕楠|何  芸|陈建文|郑萧桢</t>
  </si>
  <si>
    <t>武燕楠</t>
  </si>
  <si>
    <t>13/415,453</t>
  </si>
  <si>
    <t>Video coding techniques for coding dependent pictures after random access</t>
  </si>
  <si>
    <t>Chen; Ying|Coban; Muhammed Zeyd|Chen; Peisong|Karczewicz; Marta</t>
  </si>
  <si>
    <t>Chen; Ying</t>
  </si>
  <si>
    <t>2012/03/08</t>
  </si>
  <si>
    <t>CN200710044219.1</t>
  </si>
  <si>
    <t>基于多目相机的三维人体运动跟踪的方法</t>
  </si>
  <si>
    <t>邓浩龙|申抒含|刘允才</t>
  </si>
  <si>
    <t>邓浩龙</t>
  </si>
  <si>
    <t>2007/07/26</t>
  </si>
  <si>
    <t>2008/04/02</t>
  </si>
  <si>
    <t>CN201380030992.6</t>
  </si>
  <si>
    <t>视觉辅助惯性相机姿势估计与仅基于视觉的相机姿势估计之间的自适应性切换</t>
  </si>
  <si>
    <t>A·拉马南达恩|克里斯托福·布鲁纳|M·拉马钱德兰|A·狄亚吉|D·克诺布劳赫|穆拉利·拉马斯瓦米·查里</t>
  </si>
  <si>
    <t>A·拉马南达恩</t>
  </si>
  <si>
    <t>2012/06/14</t>
  </si>
  <si>
    <t>2013/06/10</t>
  </si>
  <si>
    <t>2017/07/18</t>
  </si>
  <si>
    <t>G06T  7/70</t>
  </si>
  <si>
    <t>CN200710177091.6</t>
  </si>
  <si>
    <t>一种光栅及其背光模组</t>
  </si>
  <si>
    <t>谭峭峰|张  琰|严瑛白|金国藩</t>
  </si>
  <si>
    <t>谭峭峰</t>
  </si>
  <si>
    <t>2007/11/09</t>
  </si>
  <si>
    <t>G02B  5/18</t>
  </si>
  <si>
    <t>2.26</t>
  </si>
  <si>
    <t>12/969,224</t>
  </si>
  <si>
    <t>Holographic brightness enhancement film</t>
  </si>
  <si>
    <t>Gruhlke; Russell Wayne|Martin; Russel Allyn</t>
  </si>
  <si>
    <t>Gruhlke; Russell Wayne</t>
  </si>
  <si>
    <t>G02B  5/32</t>
  </si>
  <si>
    <t>CN200710050265.2</t>
  </si>
  <si>
    <t>一种等效采样装置</t>
  </si>
  <si>
    <t>黄建国|曾  浩|张沁川|邱渡裕|叶  芃</t>
  </si>
  <si>
    <t>黄建国</t>
  </si>
  <si>
    <t>2007/10/17</t>
  </si>
  <si>
    <t>2008/03/19</t>
  </si>
  <si>
    <t>G01R 13/34</t>
  </si>
  <si>
    <t>3.30</t>
  </si>
  <si>
    <t>CN200980113268.3</t>
  </si>
  <si>
    <t>全数字锁相回路中的相位-数字转换器</t>
  </si>
  <si>
    <t>张刚|阿比舍克·贾如|韩怡平</t>
  </si>
  <si>
    <t>张刚</t>
  </si>
  <si>
    <t>2008/04/14</t>
  </si>
  <si>
    <t>CN200680008635.X</t>
  </si>
  <si>
    <t>无线电通信设备</t>
  </si>
  <si>
    <t>夏普株式会社|国立大学法人大阪大学|独立行政法人情报通信研究机构</t>
  </si>
  <si>
    <t>夏普公司|国立大学法人东京农工大学|独立行政法人情报通信研究机构</t>
  </si>
  <si>
    <t>浜口泰弘|藤晋平|难波秀夫|三瓶政一|原田博司|森山雅文</t>
  </si>
  <si>
    <t>浜口泰弘</t>
  </si>
  <si>
    <t>2005/01/17</t>
  </si>
  <si>
    <t>2006/01/16</t>
  </si>
  <si>
    <t>1.23</t>
  </si>
  <si>
    <t>14/089,963</t>
  </si>
  <si>
    <t>Preamble extensions</t>
  </si>
  <si>
    <t>Van Nee; Didier Johannes Richard|Van Zelst; Albert|Sampath; Hemanth|Awater; Geert Arnout</t>
  </si>
  <si>
    <t>Van Nee; Didier Johannes Richard</t>
  </si>
  <si>
    <t>2009/07/10</t>
  </si>
  <si>
    <t>CN200710175385.5</t>
  </si>
  <si>
    <t>三轴数字闭环光纤陀螺分时调制方法</t>
  </si>
  <si>
    <t>金  靖|马东营|宋凝芳|伊小素|张忠钢</t>
  </si>
  <si>
    <t>金  靖</t>
  </si>
  <si>
    <t>G01C 19/72</t>
  </si>
  <si>
    <t>3.46</t>
  </si>
  <si>
    <t>CN200980114110.8</t>
  </si>
  <si>
    <t>校准用于数字锁相回路(DPLL)的时间-数字转换器(TDC)的通电门控窗口的系统和方法</t>
  </si>
  <si>
    <t>孙博|杨兹翔|古尔坎瓦尔·辛格·萨霍塔</t>
  </si>
  <si>
    <t>孙博</t>
  </si>
  <si>
    <t>2008/04/22</t>
  </si>
  <si>
    <t>CN200710122431.5</t>
  </si>
  <si>
    <t>一种数据文件的安全处理方法及系统</t>
  </si>
  <si>
    <t>北大方正集团有限公司|北京大学|北京北大方正电子有限公司</t>
  </si>
  <si>
    <t>李春华|郭宗明|黄  峰|叶东富</t>
  </si>
  <si>
    <t>李春华</t>
  </si>
  <si>
    <t>2007/09/25</t>
  </si>
  <si>
    <t>5.67</t>
  </si>
  <si>
    <t>CN201310316397.0</t>
  </si>
  <si>
    <t>无线通信系统中用于小区搜索和选择的系统和方法</t>
  </si>
  <si>
    <t>M·M·德什潘德|S·南达|J·M·陈|F·皮卡|P·A·阿加什|G·B·霍恩|R·普拉卡什|N·E·坦尼|A·戈尔米|S·巴拉苏布拉马尼安|M·亚武兹</t>
  </si>
  <si>
    <t>M·M·德什潘德</t>
  </si>
  <si>
    <t>2008/08/04</t>
  </si>
  <si>
    <t>CN200710121482.6</t>
  </si>
  <si>
    <t>北京时代民芯科技有限公司|中国航天时代电子公司第七七二研究所|北京大学</t>
  </si>
  <si>
    <t>沈良国|严祖树|赵元富|张  兴</t>
  </si>
  <si>
    <t>沈良国</t>
  </si>
  <si>
    <t>G05F  3/16</t>
  </si>
  <si>
    <t>19.35</t>
  </si>
  <si>
    <t>CN200710045946.X</t>
  </si>
  <si>
    <t>大规模协同环境下的协同交互优化方法</t>
  </si>
  <si>
    <t>顾  宁|张琦炜|杨江明|朱  麟</t>
  </si>
  <si>
    <t>顾  宁</t>
  </si>
  <si>
    <t>CN201080039752.9</t>
  </si>
  <si>
    <t>协同式通信会话中的用户设备(UE)会话通知的方法及装置</t>
  </si>
  <si>
    <t>A·C·马亨德兰|靳海鹏|R·阿塔里乌斯</t>
  </si>
  <si>
    <t>A·C·马亨德兰</t>
  </si>
  <si>
    <t>2009/09/11</t>
  </si>
  <si>
    <t>CN200710012776.5</t>
  </si>
  <si>
    <t>稀疏数据过程建模方法</t>
  </si>
  <si>
    <t>关守平|尤富强</t>
  </si>
  <si>
    <t>关守平</t>
  </si>
  <si>
    <t>2007/09/10</t>
  </si>
  <si>
    <t>4.24</t>
  </si>
  <si>
    <t>CN201280030520.6</t>
  </si>
  <si>
    <t>用于导致稀疏连通性的局部竞争性学习规则的方法和装置</t>
  </si>
  <si>
    <t>V·阿帕林</t>
  </si>
  <si>
    <t>2011/06/22</t>
  </si>
  <si>
    <t>2012/06/21</t>
  </si>
  <si>
    <t>CN200710052847.4</t>
  </si>
  <si>
    <t>一种快速计算H.264视频标准中去块滤波边界强度值的方法</t>
  </si>
  <si>
    <t>胡瑞敏|陈  皓|高  媛|朱  立|陈  铙</t>
  </si>
  <si>
    <t>2007/07/27</t>
  </si>
  <si>
    <t>2008/01/16</t>
  </si>
  <si>
    <t>8.81</t>
  </si>
  <si>
    <t>13/532,610</t>
  </si>
  <si>
    <t>Determining boundary strength values for deblocking filtering for video coding</t>
  </si>
  <si>
    <t>Van der Auwera; Geert|Karczewicz; Marta|Wang; Xianglin</t>
  </si>
  <si>
    <t>Van der Auwera; Geert</t>
  </si>
  <si>
    <t>2012/06/25</t>
  </si>
  <si>
    <t>CN200710044221.9</t>
  </si>
  <si>
    <t>基于宏块级和像素级运动估计的视频差错掩盖方法</t>
  </si>
  <si>
    <t>宋  利|杨小康|张文军|郑世宝|马  鑫</t>
  </si>
  <si>
    <t>宋  利</t>
  </si>
  <si>
    <t>2008/01/09</t>
  </si>
  <si>
    <t>H04N  7/64</t>
  </si>
  <si>
    <t>7.5</t>
  </si>
  <si>
    <t>CN201280046156.2</t>
  </si>
  <si>
    <t>用于译码视频数据的方法和装置</t>
  </si>
  <si>
    <t>王益魁|陈盈</t>
  </si>
  <si>
    <t>2012/09/20</t>
  </si>
  <si>
    <t>H04N 19/58</t>
  </si>
  <si>
    <t>CN200710035297.5</t>
  </si>
  <si>
    <t>基于网络状态测量的分阶段慢启动传输控制方法</t>
  </si>
  <si>
    <t>邓晓衡|卢锡城|王怀民|彭宇行</t>
  </si>
  <si>
    <t>邓晓衡</t>
  </si>
  <si>
    <t>14.88</t>
  </si>
  <si>
    <t>CN201410010125.2</t>
  </si>
  <si>
    <t>用于基于通信链路的质量来调适发送数据块尺寸和速率的系统和方法</t>
  </si>
  <si>
    <t>A·P·埃坦</t>
  </si>
  <si>
    <t>2010/05/06</t>
  </si>
  <si>
    <t>CN200710106463.6</t>
  </si>
  <si>
    <t>国立大学法人东京工业大学|株式会社NTT都科摩</t>
  </si>
  <si>
    <t>国立大学法人东京农工大学|ntt通信公司</t>
  </si>
  <si>
    <t>浅井孝浩|時  慧|吉野仁|须山聪|府川和彦|铃木博</t>
  </si>
  <si>
    <t>浅井孝浩</t>
  </si>
  <si>
    <t>2006/05/29</t>
  </si>
  <si>
    <t>2007/05/29</t>
  </si>
  <si>
    <t>CN201080033513.2</t>
  </si>
  <si>
    <t>用于多信道调制调解器的自干扰消除</t>
  </si>
  <si>
    <t>H·桑帕斯|D·A·戈尔|V·K·琼斯四世</t>
  </si>
  <si>
    <t>H·桑帕斯</t>
  </si>
  <si>
    <t>2009/07/28</t>
  </si>
  <si>
    <t>2010/07/24</t>
  </si>
  <si>
    <t>H04B  1/52</t>
  </si>
  <si>
    <t>CN200710063527.9</t>
  </si>
  <si>
    <t>RVSM空域航空器高度保持性能监视系统及方法</t>
  </si>
  <si>
    <t>张  军|张学军|蔡开泉|谷志敏</t>
  </si>
  <si>
    <t>2007/02/02</t>
  </si>
  <si>
    <t>2007/11/07</t>
  </si>
  <si>
    <t>G01C  5/00</t>
  </si>
  <si>
    <t>4.11</t>
  </si>
  <si>
    <t>CN201380058539.6</t>
  </si>
  <si>
    <t>用于确定移动装置的海拔的方法及移动装置</t>
  </si>
  <si>
    <t>斯蒂芬·威廉·埃奇|安德烈亚斯·克劳斯·瓦赫特|利昂内尔·雅克·加兰|格朗·亚历山大·马歇尔</t>
  </si>
  <si>
    <t>斯蒂芬·威廉·埃奇</t>
  </si>
  <si>
    <t>2012/11/12</t>
  </si>
  <si>
    <t>2013/10/16</t>
  </si>
  <si>
    <t>G01C  5/06</t>
  </si>
  <si>
    <t>CN200710023422.0</t>
  </si>
  <si>
    <t>用于无线局域网的指数回退方法</t>
  </si>
  <si>
    <t>余旭涛|张在琛</t>
  </si>
  <si>
    <t>余旭涛</t>
  </si>
  <si>
    <t>2007/06/01</t>
  </si>
  <si>
    <t>5.47</t>
  </si>
  <si>
    <t>CN201080052280.0</t>
  </si>
  <si>
    <t>用于在使用不同频带进行数据传输的无线链路之间进行无缝转换的方法和装置</t>
  </si>
  <si>
    <t>S·P·亚伯拉罕|M·H·塔加维纳斯拉巴蒂|A·贾殷|H·桑帕斯</t>
  </si>
  <si>
    <t>2016/10/26</t>
  </si>
  <si>
    <t>CN200710052240.6</t>
  </si>
  <si>
    <t>一种语音编码选择性加密方法</t>
  </si>
  <si>
    <t>黄本雄|何  娟|杨  军</t>
  </si>
  <si>
    <t>黄本雄</t>
  </si>
  <si>
    <t>2007/05/24</t>
  </si>
  <si>
    <t>3.29</t>
  </si>
  <si>
    <t>PCT/CN2012/07682.2</t>
  </si>
  <si>
    <t>Encryption bitmap for a device-to-device expression</t>
  </si>
  <si>
    <t>2013/12/19</t>
  </si>
  <si>
    <t>H04L  9/00</t>
  </si>
  <si>
    <t>CN200710065191.X</t>
  </si>
  <si>
    <t>使用背靠背串联型MOS变容管的低噪声数控LC振荡器</t>
  </si>
  <si>
    <t>王少华|于光明|杨华中</t>
  </si>
  <si>
    <t>王少华</t>
  </si>
  <si>
    <t>H03B  5/04</t>
  </si>
  <si>
    <t>2.17</t>
  </si>
  <si>
    <t>CN201480038759.7</t>
  </si>
  <si>
    <t>用于抑制数字控制的振荡器中的噪声的设备和方法</t>
  </si>
  <si>
    <t>G·J·巴兰蒂内|B·孙|Y·唐|Z·杨|M·恩萨夫达兰</t>
  </si>
  <si>
    <t>G·J·巴兰蒂内</t>
  </si>
  <si>
    <t>2014/07/07</t>
  </si>
  <si>
    <t>CN200710017227.7</t>
  </si>
  <si>
    <t>一种基于子载波交织分配的OFDMA系统频偏估计方法</t>
  </si>
  <si>
    <t>殷勤业|王  毅|吉  欣|王慧明</t>
  </si>
  <si>
    <t>殷勤业</t>
  </si>
  <si>
    <t>2007/01/11</t>
  </si>
  <si>
    <t>2.43</t>
  </si>
  <si>
    <t>CN200880126055.X</t>
  </si>
  <si>
    <t>无线通信系统中时基信息的捕获</t>
  </si>
  <si>
    <t>M·S·华莱仕|J·R·沃顿|I·梅德维德弗</t>
  </si>
  <si>
    <t>CN200710017709.2</t>
  </si>
  <si>
    <t>基于自适应训练序列的MIMO相关信道估计方法</t>
  </si>
  <si>
    <t>李建东|庞继勇|赵林靖|吕  卓|陈  亮|董  伟</t>
  </si>
  <si>
    <t>2007/04/19</t>
  </si>
  <si>
    <t>4.1</t>
  </si>
  <si>
    <t>13/447,149</t>
  </si>
  <si>
    <t>Systems and methods for range extension of wireless communication in sub gigahertz bands</t>
  </si>
  <si>
    <t>Taghavi Nasrabadi; Mohammad Hossein|Sampath; Hemanth|Jones, IV; Vincent K.</t>
  </si>
  <si>
    <t>CN200710056963.3</t>
  </si>
  <si>
    <t>纯三维全相位滤波方法</t>
  </si>
  <si>
    <t>徐妮妮|王丽宁|王兆华</t>
  </si>
  <si>
    <t>徐妮妮</t>
  </si>
  <si>
    <t>2.77</t>
  </si>
  <si>
    <t>CN200980115290.1</t>
  </si>
  <si>
    <t>用于视频译码中的子像素位置的内插滤波的对称性</t>
  </si>
  <si>
    <t>2008/04/10</t>
  </si>
  <si>
    <t>2009/04/10</t>
  </si>
  <si>
    <t>2013/01/23</t>
  </si>
  <si>
    <t>CN200710067693.6</t>
  </si>
  <si>
    <t>多尺度自适应对比度变换的医学图像增强方法</t>
  </si>
  <si>
    <t>李  轶|范影乐|庞  全</t>
  </si>
  <si>
    <t>李  轶</t>
  </si>
  <si>
    <t>2007/03/29</t>
  </si>
  <si>
    <t>18.31</t>
  </si>
  <si>
    <t>CN201380047721.1</t>
  </si>
  <si>
    <t>用于通过用户控制的局部图像增强进行相片增强的系统</t>
  </si>
  <si>
    <t>斯蒂芬·迈克尔·维罗尔|卡林·米特科夫·阿塔纳索夫|阿德里安·朱拉</t>
  </si>
  <si>
    <t>斯蒂芬·迈克尔·维罗尔</t>
  </si>
  <si>
    <t>2013/09/16</t>
  </si>
  <si>
    <t>H04N  5/235</t>
  </si>
  <si>
    <t>CN200610165248.9</t>
  </si>
  <si>
    <t>正交下混频数字模板匹配的脉冲超宽带无线信号接收方法</t>
  </si>
  <si>
    <t>张  盛|陆建华|张建良|邱见明|邢腾飞</t>
  </si>
  <si>
    <t>张  盛</t>
  </si>
  <si>
    <t>28.6</t>
  </si>
  <si>
    <t>CN201380010840.X</t>
  </si>
  <si>
    <t>RF基带波束成形</t>
  </si>
  <si>
    <t>S·林</t>
  </si>
  <si>
    <t>H01Q  3/42</t>
  </si>
  <si>
    <t>CN200710056760.4</t>
  </si>
  <si>
    <t>采用运动检测和自适应加权滤波的去隔行方法</t>
  </si>
  <si>
    <t>史再峰|解晓东|姚素英|刘  杰|赵毅强</t>
  </si>
  <si>
    <t>史再峰</t>
  </si>
  <si>
    <t>2007/02/09</t>
  </si>
  <si>
    <t>2007/08/15</t>
  </si>
  <si>
    <t>1.78</t>
  </si>
  <si>
    <t>CN200880126922.X</t>
  </si>
  <si>
    <t>减少光晕的图像插值</t>
  </si>
  <si>
    <t>斯瑟哈·特兰|乔塔姆·勒丁</t>
  </si>
  <si>
    <t>斯瑟哈·特兰</t>
  </si>
  <si>
    <t>2007/12/20</t>
  </si>
  <si>
    <t>2013/03/27</t>
  </si>
  <si>
    <t>H04N  7/46</t>
  </si>
  <si>
    <t>CN200610125130.3</t>
  </si>
  <si>
    <t>一种超低电压参考源</t>
  </si>
  <si>
    <t>邹志革|邹雪城|雷鑑铭|刘政林|张科峰|郑朝霞|陈继明</t>
  </si>
  <si>
    <t>邹志革</t>
  </si>
  <si>
    <t>2006/11/24</t>
  </si>
  <si>
    <t>G05F  3/30</t>
  </si>
  <si>
    <t>6.23</t>
  </si>
  <si>
    <t>13/293,850</t>
  </si>
  <si>
    <t>Low-power voltage reference circuit</t>
  </si>
  <si>
    <t>Hao; Wuyang|Suh; Jungwon</t>
  </si>
  <si>
    <t>Hao; Wuyang</t>
  </si>
  <si>
    <t>2011/11/10</t>
  </si>
  <si>
    <t>H01L 35/00</t>
  </si>
  <si>
    <t>CN200580027442.4</t>
  </si>
  <si>
    <t>针对全景图像进行运动估计和补偿的方法和设备</t>
  </si>
  <si>
    <t>庆熙大学校产学协力团|三星电子株式会社</t>
  </si>
  <si>
    <t>庆熙大学|三星电子株式会社</t>
  </si>
  <si>
    <t>朴光勋|孙星镐</t>
  </si>
  <si>
    <t>朴光勋</t>
  </si>
  <si>
    <t>2004/08/13</t>
  </si>
  <si>
    <t>2005/08/13</t>
  </si>
  <si>
    <t>0.40</t>
  </si>
  <si>
    <t>CN201280048544.4</t>
  </si>
  <si>
    <t>用于视频译码的运动向量预测值候选剪裁移除</t>
  </si>
  <si>
    <t>穆罕默德·蔡德·科班|马尔塔·卡切维奇</t>
  </si>
  <si>
    <t>穆罕默德·蔡德·科班</t>
  </si>
  <si>
    <t>2017/04/19</t>
  </si>
  <si>
    <t>H04N 19/563</t>
  </si>
  <si>
    <t>CN200710063274.5</t>
  </si>
  <si>
    <t>一种高集成度MIMU/GPS/微磁罗盘/气压高度计组合导航系统</t>
  </si>
  <si>
    <t>房建成|曹娟娟|盛  蔚|张  霄|孙宏伟|孙  科</t>
  </si>
  <si>
    <t>2007/01/05</t>
  </si>
  <si>
    <t>33.3</t>
  </si>
  <si>
    <t>CN200980118348.8</t>
  </si>
  <si>
    <t>多模式定位方法和系统</t>
  </si>
  <si>
    <t>A·J·古姆</t>
  </si>
  <si>
    <t>2008/05/23</t>
  </si>
  <si>
    <t>2009/05/20</t>
  </si>
  <si>
    <t>G01S  1/00</t>
  </si>
  <si>
    <t>CN200710062641.X</t>
  </si>
  <si>
    <t>一种低电压负反馈跨导放大器</t>
  </si>
  <si>
    <t>孔耀晖|杨华中</t>
  </si>
  <si>
    <t>孔耀晖</t>
  </si>
  <si>
    <t>2007/01/12</t>
  </si>
  <si>
    <t>H03F  1/34</t>
  </si>
  <si>
    <t>CN201480033689.6</t>
  </si>
  <si>
    <t>自偏置接收机</t>
  </si>
  <si>
    <t>Y·黄|T·C·布莱恩|M·维兰</t>
  </si>
  <si>
    <t>Y·黄</t>
  </si>
  <si>
    <t>2013/06/14</t>
  </si>
  <si>
    <t>2014/06/13</t>
  </si>
  <si>
    <t>H03F  1/30</t>
  </si>
  <si>
    <t>CN200610032726.9</t>
  </si>
  <si>
    <t>一种弱能量并行PN序列时间同步与频率同步方法</t>
  </si>
  <si>
    <t>电子科技大学中山学院</t>
  </si>
  <si>
    <t>罗仁泽</t>
  </si>
  <si>
    <t>6.7</t>
  </si>
  <si>
    <t>CN200580024394.3</t>
  </si>
  <si>
    <t>强韧性数字控制器及其设计装置</t>
  </si>
  <si>
    <t>国立大学法人电气通信大学|校园创新股份有限公司|电盛兰达股份有限公司</t>
  </si>
  <si>
    <t>国立大学法人东京农工大学|校园创新股份有限公司|电盛兰达株式会社</t>
  </si>
  <si>
    <t>樋口幸治|中野和司|梶川龙义|竹上荣治|渡边一史|富冈聪</t>
  </si>
  <si>
    <t>樋口幸治</t>
  </si>
  <si>
    <t>2004/08/02</t>
  </si>
  <si>
    <t>G05B 11/36</t>
  </si>
  <si>
    <t>0.37</t>
  </si>
  <si>
    <t>CN201410158748.4</t>
  </si>
  <si>
    <t>具有频率选择的开关式电压调节器</t>
  </si>
  <si>
    <t>塞·C·高</t>
  </si>
  <si>
    <t>CN200610171503.0</t>
  </si>
  <si>
    <t>基于多参考预测链编码的无线视频传输方法</t>
  </si>
  <si>
    <t>戴琼海|温建伟|金以慧</t>
  </si>
  <si>
    <t>2006/12/30</t>
  </si>
  <si>
    <t>13/155,762</t>
  </si>
  <si>
    <t>Multipath rate adaptation</t>
  </si>
  <si>
    <t>Huang; Xiaolong|Raveendran; Vijayalakshmi R.|Luo; Xun|Bhamidipati; PhaniKumar K.|Sheth; Soham V.</t>
  </si>
  <si>
    <t>CN200610097991.5</t>
  </si>
  <si>
    <t>用印制电路板制造电感线圈的工艺方法</t>
  </si>
  <si>
    <t>徐龙祥|金超武</t>
  </si>
  <si>
    <t>徐龙祥</t>
  </si>
  <si>
    <t>2.11</t>
  </si>
  <si>
    <t>13/982,485</t>
  </si>
  <si>
    <t>Flat power coil for wireless charging applications</t>
  </si>
  <si>
    <t>Lehr; Michael|Chatterjee; Manjirnath|Shaffer; Dyke|Liu; Eric</t>
  </si>
  <si>
    <t>Lehr; Michael</t>
  </si>
  <si>
    <t>CN200610096719.5</t>
  </si>
  <si>
    <t>电力线载波通信系统的实现方法</t>
  </si>
  <si>
    <t>于东海|张海健|邹采荣</t>
  </si>
  <si>
    <t>于东海</t>
  </si>
  <si>
    <t>2006/10/10</t>
  </si>
  <si>
    <t>9.29</t>
  </si>
  <si>
    <t>13/838,678</t>
  </si>
  <si>
    <t>Channel reuse among communication networks sharing a communication channel</t>
  </si>
  <si>
    <t>Karimi; Joubin|Tahir; Ehab|Langlais; Brian James|Chappel; John Fraser|Cam; Son Binh|Roze; Richard David|Magin; Gregory Allen|Corral; Celestino A.|Hussain; Syed Adil|Riley; Keith</t>
  </si>
  <si>
    <t>Karimi; Joubin</t>
  </si>
  <si>
    <t>2012/09/28</t>
  </si>
  <si>
    <t>CN200610162163.5</t>
  </si>
  <si>
    <t>一种二进制化方法及装置</t>
  </si>
  <si>
    <t>何  芸|杨  平|余  微|孟新建|郑建铧</t>
  </si>
  <si>
    <t>何  芸</t>
  </si>
  <si>
    <t>2005/12/05</t>
  </si>
  <si>
    <t>2006/12/05</t>
  </si>
  <si>
    <t>2007/06/20</t>
  </si>
  <si>
    <t>5.58</t>
  </si>
  <si>
    <t>CN201180053470.9</t>
  </si>
  <si>
    <t>用于视频译码的自适应运动向量分辨率信令</t>
  </si>
  <si>
    <t>钱威俊|陈培松|马尔塔·卡切维奇</t>
  </si>
  <si>
    <t>2011/10/03</t>
  </si>
  <si>
    <t>H04N 19/105</t>
  </si>
  <si>
    <t>CN200510086876.3</t>
  </si>
  <si>
    <t>小尺度麦克风阵列语音增强系统和方法</t>
  </si>
  <si>
    <t>北京大学科技开发部</t>
  </si>
  <si>
    <t>迟惠生|吴玺宏|曲天书|赵  硕</t>
  </si>
  <si>
    <t>迟惠生</t>
  </si>
  <si>
    <t>2005/11/14</t>
  </si>
  <si>
    <t>2007/05/23</t>
  </si>
  <si>
    <t>12.91</t>
  </si>
  <si>
    <t>CN201180024626.0</t>
  </si>
  <si>
    <t>用于使用头戴式麦克风对来处理语音信号的方法、 设备和计算机可读媒体</t>
  </si>
  <si>
    <t>安德烈·古斯塔沃·普奇·舍维茨瓦|埃里克·维瑟|迪内希·拉马克里希南|伊恩·埃尔纳恩·刘|李仁|布赖恩·莫迈尔|朴勋真|路易斯·D·奥利韦拉</t>
  </si>
  <si>
    <t>安德烈·古斯塔沃·普奇·舍维茨瓦</t>
  </si>
  <si>
    <t>2010/05/20</t>
  </si>
  <si>
    <t>G10L 25/78</t>
  </si>
  <si>
    <t>CN200610143790.4</t>
  </si>
  <si>
    <t>在认知无线电无线通信系统中管理资源的方法</t>
  </si>
  <si>
    <t>三星电子株式会社|仁荷大学教产学协力团</t>
  </si>
  <si>
    <t>惠俊红|黄德东|金在明|俞相朝|卢权汶|郑在学</t>
  </si>
  <si>
    <t>惠俊红</t>
  </si>
  <si>
    <t>2005/11/04</t>
  </si>
  <si>
    <t>2006/11/06</t>
  </si>
  <si>
    <t>2007/05/09</t>
  </si>
  <si>
    <t>12.87</t>
  </si>
  <si>
    <t>CN201180024016.0</t>
  </si>
  <si>
    <t>空白空间上的频率选择和转换</t>
  </si>
  <si>
    <t>A·贾殷|A·K·萨迪克</t>
  </si>
  <si>
    <t>A·贾殷</t>
  </si>
  <si>
    <t>2011/04/08</t>
  </si>
  <si>
    <t>CN200610114086.6</t>
  </si>
  <si>
    <t>片上CMOS数控互补型低噪声LC振荡器</t>
  </si>
  <si>
    <t>王少华|杨华中</t>
  </si>
  <si>
    <t>2006/10/27</t>
  </si>
  <si>
    <t>4.12</t>
  </si>
  <si>
    <t>CN201210266806.6</t>
  </si>
  <si>
    <t>基于分数输入和输出相位而操作的数字锁相环</t>
  </si>
  <si>
    <t>加里·约翰·巴兰坦|孙博</t>
  </si>
  <si>
    <t>加里·约翰·巴兰坦</t>
  </si>
  <si>
    <t>2009/01/12</t>
  </si>
  <si>
    <t>CN200510114673.0</t>
  </si>
  <si>
    <t>TDD－CDMA基站间干扰消除和边缘小区间用户干扰消除方法</t>
  </si>
  <si>
    <t>曾云宝|彭  涛|王方刚|王文博</t>
  </si>
  <si>
    <t>曾云宝</t>
  </si>
  <si>
    <t>2007/05/02</t>
  </si>
  <si>
    <t>8.67</t>
  </si>
  <si>
    <t>CN200880108876.0</t>
  </si>
  <si>
    <t>在无线通信系统中使用干扰消除的基于有效目标载荷的调度</t>
  </si>
  <si>
    <t>D·张|B·莫汉蒂|S·D·桑布瓦尼</t>
  </si>
  <si>
    <t>D·张</t>
  </si>
  <si>
    <t>2007/09/28</t>
  </si>
  <si>
    <t>CN200610150820.4</t>
  </si>
  <si>
    <t>一种MIMO信道模拟器的控制方法及其实现装置</t>
  </si>
  <si>
    <t>孟维晓|张  超|孙华丽</t>
  </si>
  <si>
    <t>孟维晓</t>
  </si>
  <si>
    <t>2006/09/28</t>
  </si>
  <si>
    <t>10.1</t>
  </si>
  <si>
    <t>CN201410127207.5</t>
  </si>
  <si>
    <t>无线通信的上行链路功率控制</t>
  </si>
  <si>
    <t>P·盖尔|J·M·达蒙佳诺维克|W·陈|N·布杉|J·蒙托约</t>
  </si>
  <si>
    <t>P·盖尔</t>
  </si>
  <si>
    <t>CN200610152756.3</t>
  </si>
  <si>
    <t>网络资源负载均衡方法</t>
  </si>
  <si>
    <t>怀进鹏|张煜</t>
  </si>
  <si>
    <t>怀进鹏</t>
  </si>
  <si>
    <t>2006/09/27</t>
  </si>
  <si>
    <t>2007/02/28</t>
  </si>
  <si>
    <t>12.53</t>
  </si>
  <si>
    <t>12/414,357</t>
  </si>
  <si>
    <t>Methods of reliably sending control signal</t>
  </si>
  <si>
    <t>2008/03/31</t>
  </si>
  <si>
    <t>CN200610113117.6</t>
  </si>
  <si>
    <t>用于低比特率音频编码的语音/音乐检测器</t>
  </si>
  <si>
    <t>张斌|窦维蓓</t>
  </si>
  <si>
    <t>张斌</t>
  </si>
  <si>
    <t>2006/09/15</t>
  </si>
  <si>
    <t>G10L 15/00</t>
  </si>
  <si>
    <t>7.87</t>
  </si>
  <si>
    <t>CN200610113031.3</t>
  </si>
  <si>
    <t>在正交频分复用系统中插入恒定导频的精频偏估计方法</t>
  </si>
  <si>
    <t>周世东|高群毅|许希斌|赵明|张秀军|王京</t>
  </si>
  <si>
    <t>周世东</t>
  </si>
  <si>
    <t>2006/09/08</t>
  </si>
  <si>
    <t>2007/02/21</t>
  </si>
  <si>
    <t>1.79</t>
  </si>
  <si>
    <t>CN201310401032.8</t>
  </si>
  <si>
    <t>部分地丢弃循环前缀以进行高效TDD或半双工FDD操作的方法和设备</t>
  </si>
  <si>
    <t>J·蒙托约|D·P·玛拉迪|S·帕特尔</t>
  </si>
  <si>
    <t>J·蒙托约</t>
  </si>
  <si>
    <t>2008/09/30</t>
  </si>
  <si>
    <t>CN200610112740.X</t>
  </si>
  <si>
    <t>调频调幅混合网点层次连续调控制方法</t>
  </si>
  <si>
    <t>北京北大方正电子有限公司|北京大学</t>
  </si>
  <si>
    <t>北大方正集团有限公司|北京大学</t>
  </si>
  <si>
    <t>李海峰|杨斌</t>
  </si>
  <si>
    <t>李海峰</t>
  </si>
  <si>
    <t>2007/02/14</t>
  </si>
  <si>
    <t>H04N  1/405</t>
  </si>
  <si>
    <t>6.82</t>
  </si>
  <si>
    <t>CN200880111664.8</t>
  </si>
  <si>
    <t>用于可缩放位深度的可缩放视频译码方法和设备</t>
  </si>
  <si>
    <t>叶琰|马尔塔·卡切维奇|钟由俊</t>
  </si>
  <si>
    <t>CN200510079762.6</t>
  </si>
  <si>
    <t>一种混合网络中的信道分配方法</t>
  </si>
  <si>
    <t>李青|于宏毅|张效义</t>
  </si>
  <si>
    <t>李青</t>
  </si>
  <si>
    <t>2005/06/28</t>
  </si>
  <si>
    <t>7.65</t>
  </si>
  <si>
    <t>CN200610088978.3</t>
  </si>
  <si>
    <t>一种移动IPv6环境下面向流的移动性管理系统及管理方法</t>
  </si>
  <si>
    <t>王剑白|陈峰|李未|楼亦华|孙波|周琼琼|魏嵬</t>
  </si>
  <si>
    <t>王剑白</t>
  </si>
  <si>
    <t>CN200980121467.9</t>
  </si>
  <si>
    <t>用于受网络控制的移动IP流移动的方法和设备</t>
  </si>
  <si>
    <t>乔治斯·德希尔西斯|卡勒·阿赫马瓦拉|金海鹏|杰拉尔多·贾雷塔</t>
  </si>
  <si>
    <t>乔治斯·德希尔西斯</t>
  </si>
  <si>
    <t>2008/06/09</t>
  </si>
  <si>
    <t>H04W 60/00</t>
  </si>
  <si>
    <t>CN200610027979.7</t>
  </si>
  <si>
    <t>基于AVS的去块效应滤波器VLSI实现装置</t>
  </si>
  <si>
    <t>叶姜莉|黄中华|刘佩林</t>
  </si>
  <si>
    <t>叶姜莉</t>
  </si>
  <si>
    <t>2006/06/22</t>
  </si>
  <si>
    <t>2006/12/06</t>
  </si>
  <si>
    <t>CN200880110772.3</t>
  </si>
  <si>
    <t>通用块效应校正</t>
  </si>
  <si>
    <t>滕佳缘|沙拉什·曼朱纳什</t>
  </si>
  <si>
    <t>CN200610035725.X</t>
  </si>
  <si>
    <t>一种空分多址可见光无线接入系统</t>
  </si>
  <si>
    <t>暨南大学</t>
  </si>
  <si>
    <t>陈长缨</t>
  </si>
  <si>
    <t>2006/11/22</t>
  </si>
  <si>
    <t>H04B 10/16</t>
  </si>
  <si>
    <t>CN201380062869.2</t>
  </si>
  <si>
    <t>用于使用可见光通信信令结合无线式无线电信令的通信方法和装置</t>
  </si>
  <si>
    <t>A·约维契奇|J·李|T·J·理查德森|L·卡萨希卡</t>
  </si>
  <si>
    <t>A·约维契奇</t>
  </si>
  <si>
    <t>2012/12/01</t>
  </si>
  <si>
    <t>H04B 10/114</t>
  </si>
  <si>
    <t>CN200610032724.X</t>
  </si>
  <si>
    <t>一种测试时钟信号抖动的片上系统及其方法</t>
  </si>
  <si>
    <t>余菲</t>
  </si>
  <si>
    <t>CN201380005672.5</t>
  </si>
  <si>
    <t>片上粗略延迟校准</t>
  </si>
  <si>
    <t>W·J·陈|C-G·谭</t>
  </si>
  <si>
    <t>W·J·陈</t>
  </si>
  <si>
    <t>2013/01/17</t>
  </si>
  <si>
    <t>2017/02/22</t>
  </si>
  <si>
    <t>H03K  5/13</t>
  </si>
  <si>
    <t>CN200520134080.6</t>
  </si>
  <si>
    <t>用于电视调频电路的锁相环</t>
  </si>
  <si>
    <t>唐守龙|宋莹莹|吴烜|吴建辉|陆生礼|时龙兴</t>
  </si>
  <si>
    <t>唐守龙</t>
  </si>
  <si>
    <t>2005/12/08</t>
  </si>
  <si>
    <t>2006/11/08</t>
  </si>
  <si>
    <t>H04N  5/50</t>
  </si>
  <si>
    <t>CN201410094182.3</t>
  </si>
  <si>
    <t>本机振荡器信号的工作周期调整</t>
  </si>
  <si>
    <t>维诺德·V·潘尼卡斯|刘立</t>
  </si>
  <si>
    <t>维诺德·V·潘尼卡斯</t>
  </si>
  <si>
    <t>2009/11/25</t>
  </si>
  <si>
    <t>H03L  7/08</t>
  </si>
  <si>
    <t>CN200610011704.4</t>
  </si>
  <si>
    <t>用异步电路提高SRAM工艺FPGA设计安全的系统</t>
  </si>
  <si>
    <t>曾烈光|金德鹏|陈文涛|孔令凯</t>
  </si>
  <si>
    <t>曾烈光</t>
  </si>
  <si>
    <t>2006/03/31</t>
  </si>
  <si>
    <t>G06F 12/14</t>
  </si>
  <si>
    <t>3.58</t>
  </si>
  <si>
    <t>CN200880126520.X</t>
  </si>
  <si>
    <t>异步系统中的泄漏控制的系统和方法</t>
  </si>
  <si>
    <t>孔小华|卢·G·赤-奥恩|杨赛森|朱志</t>
  </si>
  <si>
    <t>孔小华</t>
  </si>
  <si>
    <t>CN200610025670.4</t>
  </si>
  <si>
    <t>基于AVS运动补偿的亮度插值器的VLSI实现方法</t>
  </si>
  <si>
    <t>周大江|刘佩林</t>
  </si>
  <si>
    <t>周大江</t>
  </si>
  <si>
    <t>2006/09/20</t>
  </si>
  <si>
    <t>1.98</t>
  </si>
  <si>
    <t>CN201510020591.3</t>
  </si>
  <si>
    <t>自适应电压定标</t>
  </si>
  <si>
    <t>理查德·A·穆尔|杰拉尔德·P·米夏拉克|杰弗里·T·布里奇斯</t>
  </si>
  <si>
    <t>理查德·A·穆尔</t>
  </si>
  <si>
    <t>CN200610039551.4</t>
  </si>
  <si>
    <t>一种基于正交序列设计的低复杂度信道估计方法</t>
  </si>
  <si>
    <t>李子|蔡跃明|徐友云|杨炜伟|缪晖|徐信</t>
  </si>
  <si>
    <t>李子</t>
  </si>
  <si>
    <t>2006/04/14</t>
  </si>
  <si>
    <t>CN200880006659.0</t>
  </si>
  <si>
    <t>叠加合成信道滤波器</t>
  </si>
  <si>
    <t>J·A·小普洛克特|K·M·盖尼|J·C·奥拓</t>
  </si>
  <si>
    <t>J·A·小普洛克特</t>
  </si>
  <si>
    <t>2007/03/02</t>
  </si>
  <si>
    <t>CN200610076395.9</t>
  </si>
  <si>
    <t>提高移动终端运动状态下的蜂窝网络定位精度的方法</t>
  </si>
  <si>
    <t>陶小峰|张平|崔琪楣|刘俊|张月霞|余雯|李立华|刘宝玲</t>
  </si>
  <si>
    <t>2006/09/13</t>
  </si>
  <si>
    <t>13/768,728</t>
  </si>
  <si>
    <t>Method and apparatus for determining a change in position of a location marker</t>
  </si>
  <si>
    <t>Brown; Craig M.|Paddon; Michael W.|Christopher; James A.|Moriarty; Anthony D.</t>
  </si>
  <si>
    <t>Brown; Craig M.</t>
  </si>
  <si>
    <t>2013/02/15</t>
  </si>
  <si>
    <t>CN200610020799.6</t>
  </si>
  <si>
    <t>一种认知无线电系统中避免干扰的并行频谱分配方法</t>
  </si>
  <si>
    <t>廖楚林|陈劼|唐万斌</t>
  </si>
  <si>
    <t>廖楚林</t>
  </si>
  <si>
    <t>29.36</t>
  </si>
  <si>
    <t>TW103119309</t>
  </si>
  <si>
    <t>资源配置随机化</t>
  </si>
  <si>
    <t>葛尔　彼德|玛拉迪　杜葛　普瑞沙|张晓霞</t>
  </si>
  <si>
    <t>葛尔　彼德</t>
  </si>
  <si>
    <t>2008/01/14</t>
  </si>
  <si>
    <t>2016/04/11</t>
  </si>
  <si>
    <t>H04W 28/18</t>
  </si>
  <si>
    <t>CN200610020702.1</t>
  </si>
  <si>
    <t>一种基于交织和正交频分复用的变换域通信方法</t>
  </si>
  <si>
    <t>5.97</t>
  </si>
  <si>
    <t>CN200980111431.2</t>
  </si>
  <si>
    <t>自适应功率控制的装置和方法</t>
  </si>
  <si>
    <t>S·K·坎杜库里纳拉亚纳|H·桑帕特</t>
  </si>
  <si>
    <t>S·K·坎杜库里纳拉亚纳</t>
  </si>
  <si>
    <t>2008/03/28</t>
  </si>
  <si>
    <t>2009/03/26</t>
  </si>
  <si>
    <t>2013/10/23</t>
  </si>
  <si>
    <t>H04W 52/36</t>
  </si>
  <si>
    <t>CN200610011472.2</t>
  </si>
  <si>
    <t>对等网络中全局节点维护方法</t>
  </si>
  <si>
    <t>徐恪|崔勇|孙睿|王海洋</t>
  </si>
  <si>
    <t>徐恪</t>
  </si>
  <si>
    <t>2006/03/10</t>
  </si>
  <si>
    <t>19.95</t>
  </si>
  <si>
    <t>CN200980122688.8</t>
  </si>
  <si>
    <t>用于发现对等覆盖网络的方法和装置</t>
  </si>
  <si>
    <t>V·纳拉亚南|R·S·贾亚拉姆|L·R·东代蒂|E·T·L·哈迪</t>
  </si>
  <si>
    <t>2014/06/11</t>
  </si>
  <si>
    <t>CN200510035925.0</t>
  </si>
  <si>
    <t>一种实时快速傅立叶变换电路</t>
  </si>
  <si>
    <t>胡亚飞|王新安|张国新|陈惠明|肖高发|王为</t>
  </si>
  <si>
    <t>胡亚飞</t>
  </si>
  <si>
    <t>2006/07/26</t>
  </si>
  <si>
    <t>CN200880126309.8</t>
  </si>
  <si>
    <t>用于DFT演算的器件和方法</t>
  </si>
  <si>
    <t>A·辛西欧蒂|N·卢卡斯|P·杨</t>
  </si>
  <si>
    <t>A·辛西欧蒂</t>
  </si>
  <si>
    <t>2008/01/31</t>
  </si>
  <si>
    <t>EP</t>
  </si>
  <si>
    <t>CN200410081669.4</t>
  </si>
  <si>
    <t>一种MIMO－OFDM系统中的信道估计方法</t>
  </si>
  <si>
    <t>唐斌|徐静</t>
  </si>
  <si>
    <t>唐斌</t>
  </si>
  <si>
    <t>2004/12/31</t>
  </si>
  <si>
    <t>9.42</t>
  </si>
  <si>
    <t>13/310,558</t>
  </si>
  <si>
    <t>Systems and methods for enhanced channel estimation in wireless communication systems</t>
  </si>
  <si>
    <t>Bjerke; Bjorn|Howard; Steven J</t>
  </si>
  <si>
    <t>Bjerke; Bjorn</t>
  </si>
  <si>
    <t>2007/01/02</t>
  </si>
  <si>
    <t>H04L  1/02</t>
  </si>
  <si>
    <t>CN200510096448.9</t>
  </si>
  <si>
    <t>可伸缩视频编码中的高性能三维码率控制方法</t>
  </si>
  <si>
    <t>薛建儒|张静|郑南宁</t>
  </si>
  <si>
    <t>薛建儒</t>
  </si>
  <si>
    <t>2005/12/01</t>
  </si>
  <si>
    <t>2006/06/28</t>
  </si>
  <si>
    <t>6.27</t>
  </si>
  <si>
    <t>CN201280045204.6</t>
  </si>
  <si>
    <t>用于视频译码中的短距离帧内预测的线缓冲器减少</t>
  </si>
  <si>
    <t>郭立威|马尔塔·卡切维奇|翔林·王</t>
  </si>
  <si>
    <t>2011/09/16</t>
  </si>
  <si>
    <t>H04N 19/61</t>
  </si>
  <si>
    <t>CN200510111219.X</t>
  </si>
  <si>
    <t>基于群签名的移动代理安全路由方法</t>
  </si>
  <si>
    <t>邱卫东|陈克非|王文冰|黄征|丁鹏</t>
  </si>
  <si>
    <t>邱卫东</t>
  </si>
  <si>
    <t>CN200780042487.8</t>
  </si>
  <si>
    <t>用于在通信网络中进行高效路由的方法和装置</t>
  </si>
  <si>
    <t>V·纳拉亚南|王俊|L·R·东代蒂|A·C·马亨德兰|徐大生</t>
  </si>
  <si>
    <t>2006/11/17</t>
  </si>
  <si>
    <t>2007/11/19</t>
  </si>
  <si>
    <t>H04L 12/721</t>
  </si>
  <si>
    <t>CN200410009869.9</t>
  </si>
  <si>
    <t>一种Wi－Fi网络中移动IP的非均匀切换检测方法</t>
  </si>
  <si>
    <t>刘云|沈波|张振江|穆海冰</t>
  </si>
  <si>
    <t>刘云</t>
  </si>
  <si>
    <t>2004/11/25</t>
  </si>
  <si>
    <t>13/544,896</t>
  </si>
  <si>
    <t>Systems and methods for low-overhead wireless beacons having compressed network identifiers</t>
  </si>
  <si>
    <t>Abraham; Santosh Paul|Frederiks; Guido Robert|Merlin; Simone|Wentink; Maarten Menzo</t>
  </si>
  <si>
    <t>2011/07/10</t>
  </si>
  <si>
    <t>CN200510019931.7</t>
  </si>
  <si>
    <t>一种二维矢量数据的压缩方法</t>
  </si>
  <si>
    <t>吴华意|朱海军|刘异</t>
  </si>
  <si>
    <t>吴华意</t>
  </si>
  <si>
    <t>2006/05/24</t>
  </si>
  <si>
    <t>3.32</t>
  </si>
  <si>
    <t>CN200510095774.8</t>
  </si>
  <si>
    <t>一种稀疏孔径光瞳结构及其设计优化的方法</t>
  </si>
  <si>
    <t>苏州大学|苏州科技学院</t>
  </si>
  <si>
    <t>吴泉英|钱霖|沈为民|姚庆香|高雪萍</t>
  </si>
  <si>
    <t>吴泉英</t>
  </si>
  <si>
    <t>G01S  7/481</t>
  </si>
  <si>
    <t>12/589,928</t>
  </si>
  <si>
    <t>Interferometric modulation devices having triangular subpixels</t>
  </si>
  <si>
    <t>Qualcomm Mems Technologies, Inc.</t>
  </si>
  <si>
    <t>Heald; David Leslie</t>
  </si>
  <si>
    <t>CN03811981.1</t>
  </si>
  <si>
    <t>低功率高性能存储电路及相关方法</t>
  </si>
  <si>
    <t>安诚模|刘承文</t>
  </si>
  <si>
    <t>安诚模</t>
  </si>
  <si>
    <t>2002/03/27</t>
  </si>
  <si>
    <t>2003/03/27</t>
  </si>
  <si>
    <t>2006/05/17</t>
  </si>
  <si>
    <t>G11C 11/412</t>
  </si>
  <si>
    <t>CN201480046220.6</t>
  </si>
  <si>
    <t>具有多字线设计的存储器</t>
  </si>
  <si>
    <t>C·古拉蒂|R·K·辛哈|R·查巴|S·S·尹</t>
  </si>
  <si>
    <t>C·古拉蒂</t>
  </si>
  <si>
    <t>2013/08/23</t>
  </si>
  <si>
    <t>CN200510086834.X</t>
  </si>
  <si>
    <t>基于GPU的粒子系统</t>
  </si>
  <si>
    <t>郝爱民|许楠|万丽莉</t>
  </si>
  <si>
    <t>郝爱民</t>
  </si>
  <si>
    <t>2005/11/10</t>
  </si>
  <si>
    <t>2006/03/29</t>
  </si>
  <si>
    <t>G06T 15/00</t>
  </si>
  <si>
    <t>8.0</t>
  </si>
  <si>
    <t>CN200780027887.1</t>
  </si>
  <si>
    <t>具有经扩充顶点高速缓冲存储器的图形处理单元</t>
  </si>
  <si>
    <t>焦国方|布莱恩·鲁滕伯格|于春|杜云</t>
  </si>
  <si>
    <t>焦国方</t>
  </si>
  <si>
    <t>2006/08/03</t>
  </si>
  <si>
    <t>2007/07/31</t>
  </si>
  <si>
    <t>CN200510061000.3</t>
  </si>
  <si>
    <t>家庭网络短信远程监控的方法</t>
  </si>
  <si>
    <t>吴明光|姚帅|娄嘉骏|刘凯</t>
  </si>
  <si>
    <t>吴明光</t>
  </si>
  <si>
    <t>2005/10/09</t>
  </si>
  <si>
    <t>H04M 11/00</t>
  </si>
  <si>
    <t>16.95</t>
  </si>
  <si>
    <t>CN201380045784.3</t>
  </si>
  <si>
    <t>用于在基地安全区划之外时改进跟踪器电池寿命的方法和装置</t>
  </si>
  <si>
    <t>E·C·罗森|D·M·克罗克特</t>
  </si>
  <si>
    <t>E·C·罗森</t>
  </si>
  <si>
    <t>2012/09/03</t>
  </si>
  <si>
    <t>2013/09/03</t>
  </si>
  <si>
    <t>2016/09/28</t>
  </si>
  <si>
    <t>G08B 21/02</t>
  </si>
  <si>
    <t>CN200510094032.3</t>
  </si>
  <si>
    <t>一种面向移动代理网管的安全保护方法</t>
  </si>
  <si>
    <t>王汝传|陈志</t>
  </si>
  <si>
    <t>2005/08/26</t>
  </si>
  <si>
    <t>5.86</t>
  </si>
  <si>
    <t>CN200780012564.5</t>
  </si>
  <si>
    <t>加密配置改变期间的不中断传输的方法和设备</t>
  </si>
  <si>
    <t>沙伊莱什·马赫什瓦里|基兰·齐卡帕|维韦克·拉马钱德兰</t>
  </si>
  <si>
    <t>沙伊莱什·马赫什瓦里</t>
  </si>
  <si>
    <t>2006/04/28</t>
  </si>
  <si>
    <t>2007/04/29</t>
  </si>
  <si>
    <t>CN200510028892.7</t>
  </si>
  <si>
    <t>具有智能查询功能的城市电子地图系统的实现方法</t>
  </si>
  <si>
    <t>程先华|卜建明</t>
  </si>
  <si>
    <t>程先华</t>
  </si>
  <si>
    <t>2005/08/18</t>
  </si>
  <si>
    <t>CN200780006066.X</t>
  </si>
  <si>
    <t>用于基于用户路线来确定相关关注点信息的方法和设备</t>
  </si>
  <si>
    <t>利奥尼德·谢恩布拉特</t>
  </si>
  <si>
    <t>2007/03/15</t>
  </si>
  <si>
    <t>G01C 21/26</t>
  </si>
  <si>
    <t>CN200510035707.7</t>
  </si>
  <si>
    <t>一种正交频分复用系统的采样频率偏差跟踪信号处理装置及方法</t>
  </si>
  <si>
    <t>广州海格通信有限公司|浙江大学</t>
  </si>
  <si>
    <t>广州海格通信集团股份有限公司|浙江大学</t>
  </si>
  <si>
    <t>陈朝晖|赵民建|罗志勇|喻斌|吕峻|张路明|宋旭东</t>
  </si>
  <si>
    <t>陈朝晖</t>
  </si>
  <si>
    <t>12.12</t>
  </si>
  <si>
    <t>11/777,244</t>
  </si>
  <si>
    <t>Multi-carrier receiver for wireless communication</t>
  </si>
  <si>
    <t>Rick; Roland Reinhard|Sorokine; Vladislav</t>
  </si>
  <si>
    <t>CN200510010156.9</t>
  </si>
  <si>
    <t>结合空时分组编码的智能天线下行波束形成方法</t>
  </si>
  <si>
    <t>孟维晓|古磊|徐玉滨</t>
  </si>
  <si>
    <t>2005/07/06</t>
  </si>
  <si>
    <t>8.53</t>
  </si>
  <si>
    <t>11/684,527</t>
  </si>
  <si>
    <t>Beam space time coding and transmit diversity</t>
  </si>
  <si>
    <t>2006/12/19</t>
  </si>
  <si>
    <t>2007/03/09</t>
  </si>
  <si>
    <t>CN200510070710.2</t>
  </si>
  <si>
    <t>一种用于时分双工系统的辅助导频方法</t>
  </si>
  <si>
    <t>陶小峰|张平|印海莹|徐瑨|王轶</t>
  </si>
  <si>
    <t>2005/05/17</t>
  </si>
  <si>
    <t>CN200780051966.6</t>
  </si>
  <si>
    <t>用于无线网络的鲁棒传输方案</t>
  </si>
  <si>
    <t>A·桑佩斯</t>
  </si>
  <si>
    <t>2007/05/15</t>
  </si>
  <si>
    <t>CN200410086020.1</t>
  </si>
  <si>
    <t>采用多图形处理器加速方格片元过滤的实时体绘制方法</t>
  </si>
  <si>
    <t>香港中文大学</t>
  </si>
  <si>
    <t>王平安|谢永明|黄田津|徐严滨</t>
  </si>
  <si>
    <t>王平安</t>
  </si>
  <si>
    <t>2004/04/20</t>
  </si>
  <si>
    <t>2004/10/22</t>
  </si>
  <si>
    <t>G06T 15/20</t>
  </si>
  <si>
    <t>11.98</t>
  </si>
  <si>
    <t>CN200880001769.8</t>
  </si>
  <si>
    <t>三维图形管线的自动负载平衡</t>
  </si>
  <si>
    <t>魏建|詹姆斯·M·布朗|吴车辉</t>
  </si>
  <si>
    <t>魏建</t>
  </si>
  <si>
    <t>CN200510011754.8</t>
  </si>
  <si>
    <t>10G网络性能测试系统并行流调度方法</t>
  </si>
  <si>
    <t>张小平|曹锐|赵有健|徐明伟</t>
  </si>
  <si>
    <t>张小平</t>
  </si>
  <si>
    <t>2005/05/20</t>
  </si>
  <si>
    <t>CN200780012646.X</t>
  </si>
  <si>
    <t>测试接入端口开关</t>
  </si>
  <si>
    <t>凯文·查尔斯·布尔克|菲利普·理查德·鲍狄埃|斯里尼瓦斯·瓦拉达拉詹</t>
  </si>
  <si>
    <t>凯文·查尔斯·布尔克</t>
  </si>
  <si>
    <t>2006/04/12</t>
  </si>
  <si>
    <t>CN200410003492.6</t>
  </si>
  <si>
    <t>地面数字电视广播的单频网系统及其实现方法</t>
  </si>
  <si>
    <t>杨知行|王劲涛|房海东|潘长勇|王军|韩猛</t>
  </si>
  <si>
    <t>2004/04/01</t>
  </si>
  <si>
    <t>2005/10/05</t>
  </si>
  <si>
    <t>73.16</t>
  </si>
  <si>
    <t>CN200780041248.0</t>
  </si>
  <si>
    <t>在MBSFN非活动区域中增强广播传输的方法及装置</t>
  </si>
  <si>
    <t>N·E·坦尼</t>
  </si>
  <si>
    <t>2006/11/07</t>
  </si>
  <si>
    <t>2007/11/06</t>
  </si>
  <si>
    <t>CN200410003481.8</t>
  </si>
  <si>
    <t>时域同步正交频分复用接收机的自动增益控制方法及系统</t>
  </si>
  <si>
    <t>杨知行|杨林</t>
  </si>
  <si>
    <t>2004/03/31</t>
  </si>
  <si>
    <t>H04N  5/52</t>
  </si>
  <si>
    <t>CN200410003480.3</t>
  </si>
  <si>
    <t>TDS－OFDM接收机自适应信道估计均衡方法及其系统</t>
  </si>
  <si>
    <t>29.33</t>
  </si>
  <si>
    <t>CN200880024697.9</t>
  </si>
  <si>
    <t>用于在通信系统中解决导频伪随机噪声码冲突的方法和装置</t>
  </si>
  <si>
    <t>R·普拉卡什|A·戈罗霍夫|F·乌卢皮纳尔|P·A·阿加什|P·达亚尔</t>
  </si>
  <si>
    <t>R·普拉卡什</t>
  </si>
  <si>
    <t>2007/07/16</t>
  </si>
  <si>
    <t>CN200510018489.6</t>
  </si>
  <si>
    <t>一种增强型帧内预测模式编码方法</t>
  </si>
  <si>
    <t>朱光喜|戴声奎|刘文予|喻莉</t>
  </si>
  <si>
    <t>2005/03/31</t>
  </si>
  <si>
    <t>H04N  7/34</t>
  </si>
  <si>
    <t>62.50</t>
  </si>
  <si>
    <t>CN200780052818.6</t>
  </si>
  <si>
    <t>使用所估计译码成本的视频译码模式选择</t>
  </si>
  <si>
    <t>西塔拉曼·加纳帕蒂·苏布拉马尼亚|施方|陈培松|塞伊富拉·哈利特·奥古兹|史考特·T·斯瓦泽伊|维诺德·考希克</t>
  </si>
  <si>
    <t>西塔拉曼·加纳帕蒂·苏布拉马尼亚</t>
  </si>
  <si>
    <t>2007/05/04</t>
  </si>
  <si>
    <t>CN200510038647.4</t>
  </si>
  <si>
    <t>高阶正交幅度调制中软解调软调制的快速实现方法</t>
  </si>
  <si>
    <t>高西奇|尤肖虎|王闻今</t>
  </si>
  <si>
    <t>高西奇</t>
  </si>
  <si>
    <t>CN200880014701.3</t>
  </si>
  <si>
    <t>用于对无线通信系统进行多层成形的系统、方法</t>
  </si>
  <si>
    <t>C·黑加德|S·N·艾哈迈德|B·C·约瑟夫</t>
  </si>
  <si>
    <t>C·黑加德</t>
  </si>
  <si>
    <t>2008/05/02</t>
  </si>
  <si>
    <t>CN03815012.3</t>
  </si>
  <si>
    <t>利用混合基数快速付里叶变换的调制设备</t>
  </si>
  <si>
    <t>三星电子株式会社|亚洲大学校产学协力团</t>
  </si>
  <si>
    <t>三星电子株式会社|亚州大学校产学协力团</t>
  </si>
  <si>
    <t>鲜于明勋</t>
  </si>
  <si>
    <t>2002/06/27</t>
  </si>
  <si>
    <t>2003/06/27</t>
  </si>
  <si>
    <t>2005/08/31</t>
  </si>
  <si>
    <t>CN200780015253.4</t>
  </si>
  <si>
    <t>多端口混合基FFT</t>
  </si>
  <si>
    <t>G·W·施</t>
  </si>
  <si>
    <t>CN200410016508.7</t>
  </si>
  <si>
    <t>多路并行可变长码解码的方法</t>
  </si>
  <si>
    <t>孙军|司马苗|唐泽鹏|胡广</t>
  </si>
  <si>
    <t>孙军</t>
  </si>
  <si>
    <t>2004/02/24</t>
  </si>
  <si>
    <t>1.55</t>
  </si>
  <si>
    <t>CN200780020833.2</t>
  </si>
  <si>
    <t>视频块的并行批量解码</t>
  </si>
  <si>
    <t>贾森·史密斯|阿拉温德·巴斯卡拉</t>
  </si>
  <si>
    <t>贾森·史密斯</t>
  </si>
  <si>
    <t>2006/06/08</t>
  </si>
  <si>
    <t>2007/01/27</t>
  </si>
  <si>
    <t>2011/07/27</t>
  </si>
  <si>
    <t>CN200410029908.1</t>
  </si>
  <si>
    <t>一种OQAM传输系统中的双导频信号生成方法</t>
  </si>
  <si>
    <t>张文军|夏劲松</t>
  </si>
  <si>
    <t>张文军</t>
  </si>
  <si>
    <t>2004/03/29</t>
  </si>
  <si>
    <t>H04L 27/36</t>
  </si>
  <si>
    <t>CN200780036041.4</t>
  </si>
  <si>
    <t>在无线通信系统中配置导频符号的方法和装置</t>
  </si>
  <si>
    <t>2007/09/27</t>
  </si>
  <si>
    <t>CN200510041684.0</t>
  </si>
  <si>
    <t>Ad Hoc网络的令牌传递及管理方法</t>
  </si>
  <si>
    <t>2005/02/04</t>
  </si>
  <si>
    <t>2005/08/03</t>
  </si>
  <si>
    <t>H04L 12/417</t>
  </si>
  <si>
    <t>16.56</t>
  </si>
  <si>
    <t>CN200880108758.X</t>
  </si>
  <si>
    <t>用于周期性信道扫描随机化的方法和装置</t>
  </si>
  <si>
    <t>D·J·朱利安|Z·贾</t>
  </si>
  <si>
    <t>D·J·朱利安</t>
  </si>
  <si>
    <t>CN200410067072.4</t>
  </si>
  <si>
    <t>基于盲信号分离的语音增强装置</t>
  </si>
  <si>
    <t>方勇|刘盛鹏|梁越</t>
  </si>
  <si>
    <t>方勇</t>
  </si>
  <si>
    <t>2004/10/12</t>
  </si>
  <si>
    <t>2.19</t>
  </si>
  <si>
    <t>CN200780015527.X</t>
  </si>
  <si>
    <t>用于改进盲源分离技术的性能的信号处理方法、装置和设备</t>
  </si>
  <si>
    <t>王松|埃迪·L·T·乔伊|萨米尔·库马尔·古普塔</t>
  </si>
  <si>
    <t>王松</t>
  </si>
  <si>
    <t>2006/05/02</t>
  </si>
  <si>
    <t>CN200410065659.1</t>
  </si>
  <si>
    <t>用于智能结构的形状记忆合金增强型压电驱动器及制作工艺步骤</t>
  </si>
  <si>
    <t>沈星|冯伟|刘永刚</t>
  </si>
  <si>
    <t>沈星</t>
  </si>
  <si>
    <t>H01L 41/083</t>
  </si>
  <si>
    <t>CN201380024167.5</t>
  </si>
  <si>
    <t>压电有源冷却设备</t>
  </si>
  <si>
    <t>Q·李|J·J·安德森</t>
  </si>
  <si>
    <t>Q·李</t>
  </si>
  <si>
    <t>2013/05/09</t>
  </si>
  <si>
    <t>H01L 41/04</t>
  </si>
  <si>
    <t>CN200310111075.9</t>
  </si>
  <si>
    <t>多载波通信系统中相噪的逐符号探测与抑制方法</t>
  </si>
  <si>
    <t>朱维乐</t>
  </si>
  <si>
    <t>2003/12/03</t>
  </si>
  <si>
    <t>2005/06/08</t>
  </si>
  <si>
    <t>12/145,322</t>
  </si>
  <si>
    <t>Phase-noise resilient generation of a channel quality indicator</t>
  </si>
  <si>
    <t>Lu; Feng|Sripathi; Prashant Udupa|Zhao; Liang|Subrahmanya; Parvathanathan|Rao; Subramanya P.</t>
  </si>
  <si>
    <t>Lu; Feng</t>
  </si>
  <si>
    <t>2008/06/24</t>
  </si>
  <si>
    <t>H03D  1/04</t>
  </si>
  <si>
    <t>CN200410084310.2</t>
  </si>
  <si>
    <t>红外图像序列中弱小目标的检测和跟踪方法</t>
  </si>
  <si>
    <t>敬忠良|胡洪涛|胡士强</t>
  </si>
  <si>
    <t>敬忠良</t>
  </si>
  <si>
    <t>2004/11/18</t>
  </si>
  <si>
    <t>2005/04/13</t>
  </si>
  <si>
    <t>G06K  9/80</t>
  </si>
  <si>
    <t>14.99</t>
  </si>
  <si>
    <t>11/436,470</t>
  </si>
  <si>
    <t>Line or text-based image processing tools</t>
  </si>
  <si>
    <t>Jiang; Xiaoyun|Chiu; Chinchuan Andrew|Quan; Shuxue</t>
  </si>
  <si>
    <t>Jiang; Xiaoyun</t>
  </si>
  <si>
    <t>G06K  9/68</t>
  </si>
  <si>
    <t>1.38</t>
  </si>
  <si>
    <t>CN200410091128.X</t>
  </si>
  <si>
    <t>一种适合于分布式系统的下行发送天线的选择方法</t>
  </si>
  <si>
    <t>周世东|王京|韩双锋</t>
  </si>
  <si>
    <t>2004/11/19</t>
  </si>
  <si>
    <t>2005/04/06</t>
  </si>
  <si>
    <t>9.70</t>
  </si>
  <si>
    <t>CN200680019698.5</t>
  </si>
  <si>
    <t>用于列表球解码及MLMIMO接收机的CQI和秩预测的方法和装置</t>
  </si>
  <si>
    <t>H·萨姆帕斯|T·卡多斯</t>
  </si>
  <si>
    <t>H·萨姆帕斯</t>
  </si>
  <si>
    <t>2006/06/01</t>
  </si>
  <si>
    <t>CN200410009626.5</t>
  </si>
  <si>
    <t>手机游戏的互动信息感知方法及嵌入手机的智能游戏平台</t>
  </si>
  <si>
    <t>王晓浩|唐飞|魏强</t>
  </si>
  <si>
    <t>王晓浩</t>
  </si>
  <si>
    <t>2004/09/30</t>
  </si>
  <si>
    <t>2005/03/30</t>
  </si>
  <si>
    <t>20.80</t>
  </si>
  <si>
    <t>CN201310167436.5</t>
  </si>
  <si>
    <t>方向敏感的信号输出方法及装置</t>
  </si>
  <si>
    <t>里藤·贾斯沃尔|弗朗西斯·麦克杜格尔</t>
  </si>
  <si>
    <t>里藤·贾斯沃尔</t>
  </si>
  <si>
    <t>CN200410009563.3</t>
  </si>
  <si>
    <t>一种适用动态变化网络的IPv6无线/移动路由器及实现方法</t>
  </si>
  <si>
    <t>张宏科|张思东|秦雅娟|王江林|郜帅|任彦|苏伟|朱鸿雷|刘颖</t>
  </si>
  <si>
    <t>2004/09/15</t>
  </si>
  <si>
    <t>2.72</t>
  </si>
  <si>
    <t>CN200880101646.1</t>
  </si>
  <si>
    <t>用于在多跳上正交地进行调度的方法</t>
  </si>
  <si>
    <t>G·B·霍恩|A·桑佩斯|S·南达</t>
  </si>
  <si>
    <t>G·B·霍恩</t>
  </si>
  <si>
    <t>2007/08/02</t>
  </si>
  <si>
    <t>2008/08/01</t>
  </si>
  <si>
    <t>H04L 12/58</t>
  </si>
  <si>
    <t>CN200410053655.1</t>
  </si>
  <si>
    <t>网络数字电视系统时钟同步保持的控制方法</t>
  </si>
  <si>
    <t>罗传飞|周军|王兴东|熊红凯|孙军</t>
  </si>
  <si>
    <t>罗传飞</t>
  </si>
  <si>
    <t>2004/08/12</t>
  </si>
  <si>
    <t>2005/03/02</t>
  </si>
  <si>
    <t>H04N  5/04</t>
  </si>
  <si>
    <t>11/561,299</t>
  </si>
  <si>
    <t>Solving IP buffering delays in mobile multimedia applications with translayer optimization</t>
  </si>
  <si>
    <t>Walker; Gordon Kent|Bennett; Christopher John|Chen; An Mei</t>
  </si>
  <si>
    <t>Walker; Gordon Kent</t>
  </si>
  <si>
    <t>2005/12/02</t>
  </si>
  <si>
    <t>CN200410053539.X</t>
  </si>
  <si>
    <t>皮肤显微图像症状自动识别方法</t>
  </si>
  <si>
    <t>胡越黎|曹家麟|冉峰|赵倩|冯栩</t>
  </si>
  <si>
    <t>2004/08/06</t>
  </si>
  <si>
    <t>CN200680038374.6</t>
  </si>
  <si>
    <t>用于图像处理、色彩分类和皮肤色彩检测的方法及设备</t>
  </si>
  <si>
    <t>全舒学|钱川·安德鲁·秋|江晓云</t>
  </si>
  <si>
    <t>全舒学</t>
  </si>
  <si>
    <t>2006/08/18</t>
  </si>
  <si>
    <t>G06T  7/40</t>
  </si>
  <si>
    <t>CN200410024681.1</t>
  </si>
  <si>
    <t>光因特网络的服务质量控制方法</t>
  </si>
  <si>
    <t>魏威|曾庆济|欧阳勇</t>
  </si>
  <si>
    <t>魏威</t>
  </si>
  <si>
    <t>2004/05/27</t>
  </si>
  <si>
    <t>19.30</t>
  </si>
  <si>
    <t>CN200780044177.X</t>
  </si>
  <si>
    <t>使用动态无活动计时器阈值来检测服务的结束</t>
  </si>
  <si>
    <t>R·沙希迪|A·T·帕亚皮利|S·巴拉苏布拉马尼安|L·沈</t>
  </si>
  <si>
    <t>R·沙希迪</t>
  </si>
  <si>
    <t>2006/11/28</t>
  </si>
  <si>
    <t>2016/07/06</t>
  </si>
  <si>
    <t>CN200410042315.9</t>
  </si>
  <si>
    <t>移动IP中移动节点实现切换的方法</t>
  </si>
  <si>
    <t>夏寅贲|张大伟|田霖|李未</t>
  </si>
  <si>
    <t>夏寅贲</t>
  </si>
  <si>
    <t>2004/05/17</t>
  </si>
  <si>
    <t>2005/02/16</t>
  </si>
  <si>
    <t>CN200880018206.X</t>
  </si>
  <si>
    <t>用于通信切换的方法和装置</t>
  </si>
  <si>
    <t>P·丁娜功西素帕普|F·乌卢皮纳尔|王俊|P·A·阿加什</t>
  </si>
  <si>
    <t>2007/05/30</t>
  </si>
  <si>
    <t>CN03134425.9</t>
  </si>
  <si>
    <t>一种利用显著边缘进行图像检索的方法</t>
  </si>
  <si>
    <t>郭雷|韩军伟|鲍永生</t>
  </si>
  <si>
    <t>郭雷</t>
  </si>
  <si>
    <t>2003/07/23</t>
  </si>
  <si>
    <t>2005/01/26</t>
  </si>
  <si>
    <t>G06T  7/60</t>
  </si>
  <si>
    <t>10.30</t>
  </si>
  <si>
    <t>12/114,381</t>
  </si>
  <si>
    <t>Camera-based user input for compact devices</t>
  </si>
  <si>
    <t>Hildreth; Evan</t>
  </si>
  <si>
    <t>1.3</t>
  </si>
  <si>
    <t>CN03145031.8</t>
  </si>
  <si>
    <t>微生物高效中和抗原的筛选和鉴定方法</t>
  </si>
  <si>
    <t>彭宣宪|陈子珺|王三英</t>
  </si>
  <si>
    <t>彭宣宪</t>
  </si>
  <si>
    <t>G01N</t>
  </si>
  <si>
    <t>G01N 33/561</t>
  </si>
  <si>
    <t>CN200810091989.6</t>
  </si>
  <si>
    <t>远程通信系统中的测量报告</t>
  </si>
  <si>
    <t>O·萨罗纳霍|K·斯皮莱</t>
  </si>
  <si>
    <t>O·萨罗纳霍</t>
  </si>
  <si>
    <t>1998/02/17</t>
  </si>
  <si>
    <t>1999/02/09</t>
  </si>
  <si>
    <t>H04W 36/30</t>
  </si>
  <si>
    <t>FI</t>
  </si>
  <si>
    <t>CN200410025973.7</t>
  </si>
  <si>
    <t>基于漫游密钥交换认证协议的无线局域网安全接入方法</t>
  </si>
  <si>
    <t>马建峰|赖晓龙|孙军帅|王卫东|史庭俊|彭志威|王超</t>
  </si>
  <si>
    <t>马建峰</t>
  </si>
  <si>
    <t>2004/03/22</t>
  </si>
  <si>
    <t>32.74</t>
  </si>
  <si>
    <t>CN200410017368.5</t>
  </si>
  <si>
    <t>波束空间正交频分复用调制系统自适应波束形成方法</t>
  </si>
  <si>
    <t>刘波|金荣洪|耿军平|范瑜</t>
  </si>
  <si>
    <t>刘波</t>
  </si>
  <si>
    <t>2.1</t>
  </si>
  <si>
    <t>CN200680021789.2</t>
  </si>
  <si>
    <t>用于多天线系统的低复杂度波束成形的装置及方法</t>
  </si>
  <si>
    <t>T·季|A·F·纳格比|A·苏蒂温|D·A·高尔|A·格洛科夫|H·萨姆帕斯|M·东</t>
  </si>
  <si>
    <t>T·季</t>
  </si>
  <si>
    <t>2006/05/12</t>
  </si>
  <si>
    <t>CN200410014600.X</t>
  </si>
  <si>
    <t>一种防止缓冲区溢出攻击的动态堆栈内存管理方法</t>
  </si>
  <si>
    <t>龚如宾|潘金贵</t>
  </si>
  <si>
    <t>龚如宾</t>
  </si>
  <si>
    <t>2004/04/09</t>
  </si>
  <si>
    <t>1.97</t>
  </si>
  <si>
    <t>CN201210068384.1</t>
  </si>
  <si>
    <t>用于管理返回堆栈的方法和设备</t>
  </si>
  <si>
    <t>罗德尼·韦恩·史密斯|杰弗里·托德·布里奇斯|詹姆斯·诺里斯·迪芬德尔费尔|托马斯·安德鲁·萨托里乌斯</t>
  </si>
  <si>
    <t>2005/02/18</t>
  </si>
  <si>
    <t>2006/02/17</t>
  </si>
  <si>
    <t>G06F  9/42</t>
  </si>
  <si>
    <t>CN200410016557.0</t>
  </si>
  <si>
    <t>基于导频矩阵的时域自适应信道估计方法</t>
  </si>
  <si>
    <t>管华亮|宋文涛|张海滨|薛亮|徐友云</t>
  </si>
  <si>
    <t>管华亮</t>
  </si>
  <si>
    <t>2004/02/26</t>
  </si>
  <si>
    <t>2005/01/05</t>
  </si>
  <si>
    <t>11.38</t>
  </si>
  <si>
    <t>CN200680029759.6</t>
  </si>
  <si>
    <t>MIMO系统的高效率滤波器权重计算</t>
  </si>
  <si>
    <t>S·J·霍华德|J·W·凯彻姆|M·S·华莱仕|P·蒙森|J·R·沃尔顿</t>
  </si>
  <si>
    <t>2006/06/07</t>
  </si>
  <si>
    <t>2014/04/09</t>
  </si>
  <si>
    <t>CN200410022964.2</t>
  </si>
  <si>
    <t>超长指令字微处理器中的指令控制流水线方法</t>
  </si>
  <si>
    <t>蒋江|邢座程|高军|张民选|曾献君|邓让钰|李勇|张承义|孙彩霞|欧国东|马卓|张杰|陈海燕|阳柳|衣晓飞</t>
  </si>
  <si>
    <t>蒋江</t>
  </si>
  <si>
    <t>2004/03/09</t>
  </si>
  <si>
    <t>CN200680011578.0</t>
  </si>
  <si>
    <t>处置分支误预测的处理器和方法</t>
  </si>
  <si>
    <t>迈克尔·斯科特·麦基尔文|杰弗里·托德·布里奇斯|詹姆斯·诺里斯·迪芬德尔费尔|托马斯·安德鲁·萨托里乌斯</t>
  </si>
  <si>
    <t>迈克尔·斯科特·麦基尔文</t>
  </si>
  <si>
    <t>CN200310114789.5</t>
  </si>
  <si>
    <t>对三维对象数据进行编码和解码的方法及装置</t>
  </si>
  <si>
    <t>朴仁圭|李信俊|宋寅昱|金昌洙|李商郁</t>
  </si>
  <si>
    <t>朴仁圭</t>
  </si>
  <si>
    <t>2003/12/05</t>
  </si>
  <si>
    <t>2004/11/24</t>
  </si>
  <si>
    <t>G06T  9/40</t>
  </si>
  <si>
    <t>5.64</t>
  </si>
  <si>
    <t>CN201380024011.7</t>
  </si>
  <si>
    <t>用于主动深度感测的仿射不变空间掩码的接收</t>
  </si>
  <si>
    <t>卡林·米特科夫·阿塔纳索夫|詹姆斯·威尔逊·纳什|维卡斯·拉马钱德兰|塞尔久·拉杜·戈马</t>
  </si>
  <si>
    <t>卡林·米特科夫·阿塔纳索夫</t>
  </si>
  <si>
    <t>2012/05/24</t>
  </si>
  <si>
    <t>2013/04/18</t>
  </si>
  <si>
    <t>2017/05/17</t>
  </si>
  <si>
    <t>G01B</t>
  </si>
  <si>
    <t>G01B 11/25</t>
  </si>
  <si>
    <t>CN200410000666.3</t>
  </si>
  <si>
    <t>一种用于视频编码的帧内预测方法</t>
  </si>
  <si>
    <t>孔德慧|张楠|尹宝才|王雁来|孙艳丰|岳文颖</t>
  </si>
  <si>
    <t>孔德慧</t>
  </si>
  <si>
    <t>2004/10/06</t>
  </si>
  <si>
    <t>48.44</t>
  </si>
  <si>
    <t>CN02160669.2</t>
  </si>
  <si>
    <t>一种控制峰值功率的发射机和接收机</t>
  </si>
  <si>
    <t>朱近康|杜政</t>
  </si>
  <si>
    <t>朱近康</t>
  </si>
  <si>
    <t>4.54</t>
  </si>
  <si>
    <t>CN200580035831.1</t>
  </si>
  <si>
    <t>用于多载波和单载波波形的统一脉冲整形的方法和设备</t>
  </si>
  <si>
    <t>丹纳杰伊·阿肖克·戈尔|阿夫尼斯·阿格沃|奥莫德·汉德卡</t>
  </si>
  <si>
    <t>丹纳杰伊·阿肖克·戈尔</t>
  </si>
  <si>
    <t>2004/08/20</t>
  </si>
  <si>
    <t>2005/08/19</t>
  </si>
  <si>
    <t>CN02159087.7</t>
  </si>
  <si>
    <t>光因特网中采用分布式控制的动态链路建立方法</t>
  </si>
  <si>
    <t>纪越峰|张志海|何杰</t>
  </si>
  <si>
    <t>纪越峰</t>
  </si>
  <si>
    <t>CN200780007190.8</t>
  </si>
  <si>
    <t>对于无线通信网络的传输控制</t>
  </si>
  <si>
    <t>桑托什·亚伯拉罕|桑吉夫·南达|赛尚卡尔·南达高普兰</t>
  </si>
  <si>
    <t>桑托什·亚伯拉罕</t>
  </si>
  <si>
    <t>2007/03/05</t>
  </si>
  <si>
    <t>2014/01/29</t>
  </si>
  <si>
    <t>CN02139511.X</t>
  </si>
  <si>
    <t>电力线载波通信协议及其装置</t>
  </si>
  <si>
    <t>史忠科|陈小锋|陈刚|朱红育</t>
  </si>
  <si>
    <t>史忠科</t>
  </si>
  <si>
    <t>2002/11/11</t>
  </si>
  <si>
    <t>2004/05/26</t>
  </si>
  <si>
    <t>CN201380026408.X</t>
  </si>
  <si>
    <t>推断电力线上非线性设备的存在和身份的方法和装置</t>
  </si>
  <si>
    <t>F·M·沙德|L·W·央格三世</t>
  </si>
  <si>
    <t>F·M·沙德</t>
  </si>
  <si>
    <t>CN03117248.2</t>
  </si>
  <si>
    <t>基于均匀与非均匀调制星座图映射的不等保护混合自动重传请求方法</t>
  </si>
  <si>
    <t>陈红|范平志</t>
  </si>
  <si>
    <t>陈红</t>
  </si>
  <si>
    <t>2003/01/27</t>
  </si>
  <si>
    <t>H04L  1/08</t>
  </si>
  <si>
    <t>27.96</t>
  </si>
  <si>
    <t>CN200680016120.4</t>
  </si>
  <si>
    <t>用于在通信系统中进行信道交织的设备和方法</t>
  </si>
  <si>
    <t>N·布杉</t>
  </si>
  <si>
    <t>2005/05/12</t>
  </si>
  <si>
    <t>2006/05/09</t>
  </si>
  <si>
    <t>CN03157388.6</t>
  </si>
  <si>
    <t>有效降低子载波间干扰（ICI）的分段解调算法</t>
  </si>
  <si>
    <t>周世东|许希斌|肖立民|姚彦</t>
  </si>
  <si>
    <t>2003/09/19</t>
  </si>
  <si>
    <t>7.23</t>
  </si>
  <si>
    <t>CN200880009094.1</t>
  </si>
  <si>
    <t>针对OFDMA中的相关信道的简化均衡</t>
  </si>
  <si>
    <t>P·C·布迪亚努|H·桑帕特|A·戈罗霍夫|D·A·戈尔</t>
  </si>
  <si>
    <t>P·C·布迪亚努</t>
  </si>
  <si>
    <t>2008/03/21</t>
  </si>
  <si>
    <t>CN03150472.8</t>
  </si>
  <si>
    <t>基于局部统计特性和彩色空间变换的遥感影像融合方法</t>
  </si>
  <si>
    <t>敬忠良|杨旭红|李建勋</t>
  </si>
  <si>
    <t>2003/08/21</t>
  </si>
  <si>
    <t>2004/04/14</t>
  </si>
  <si>
    <t>G06T  5/20</t>
  </si>
  <si>
    <t>CN200580025219.6</t>
  </si>
  <si>
    <t>自适应滤波器和用于图像处理的设备、方法</t>
  </si>
  <si>
    <t>塞波·洪</t>
  </si>
  <si>
    <t>2010/05/05</t>
  </si>
  <si>
    <t>CN03134436.4</t>
  </si>
  <si>
    <t>WCDMA与GSM系统同频传输方法</t>
  </si>
  <si>
    <t>聂敏|裴昌幸|李建东|陈南</t>
  </si>
  <si>
    <t>聂敏</t>
  </si>
  <si>
    <t>2003/07/28</t>
  </si>
  <si>
    <t>2004/03/17</t>
  </si>
  <si>
    <t>0.91</t>
  </si>
  <si>
    <t>CN200680046718.8</t>
  </si>
  <si>
    <t>用于无线通信的分集接收器和分集接收的方法</t>
  </si>
  <si>
    <t>韦斯利·桑普森|阿里斯托泰莱·哈吉克里托斯|古尔坎瓦尔·S·萨霍塔</t>
  </si>
  <si>
    <t>韦斯利·桑普森</t>
  </si>
  <si>
    <t>2005/10/19</t>
  </si>
  <si>
    <t>2006/10/19</t>
  </si>
  <si>
    <t>H04B  1/40</t>
  </si>
  <si>
    <t>CN03153577.1</t>
  </si>
  <si>
    <t>基于时空域相关性快速运动估计的视频编码方法</t>
  </si>
  <si>
    <t>薛金柱|沈兰荪</t>
  </si>
  <si>
    <t>薛金柱</t>
  </si>
  <si>
    <t>H04N  5/917</t>
  </si>
  <si>
    <t>4.33</t>
  </si>
  <si>
    <t>CN200610008958.0</t>
  </si>
  <si>
    <t>使用非标准化矢量量化编码器的符合视频标准的残差编码</t>
  </si>
  <si>
    <t>S·莫洛伊</t>
  </si>
  <si>
    <t>CN03129386.7</t>
  </si>
  <si>
    <t>基于网络的设备状态监控与性能退化预测方法</t>
  </si>
  <si>
    <t>曹其新|张蕾|李杰|赵言正|付庄</t>
  </si>
  <si>
    <t>曹其新</t>
  </si>
  <si>
    <t>2004/02/04</t>
  </si>
  <si>
    <t>3.85</t>
  </si>
  <si>
    <t>CN200680020089.1</t>
  </si>
  <si>
    <t>用于无线装置上的通用诊断监控器模块的设备及方法</t>
  </si>
  <si>
    <t>肯尼·福克|蒂亚·曼宁·卡塞特|米哈伊尔·A·</t>
  </si>
  <si>
    <t>肯尼·福克</t>
  </si>
  <si>
    <t>2005/04/14</t>
  </si>
  <si>
    <t>CN01816789.6</t>
  </si>
  <si>
    <t>用于提高无线定位系统精度的基于移动协助网络的技术</t>
  </si>
  <si>
    <t>路易斯·A·史迪普|约瑟夫·W·希恩|艾伦·E·E·罗杰斯|罗伯特·J·安德森|维尼特·萨克德夫</t>
  </si>
  <si>
    <t>路易斯·A·史迪普</t>
  </si>
  <si>
    <t>2000/10/03</t>
  </si>
  <si>
    <t>2001/06/26</t>
  </si>
  <si>
    <t>CN201310125125.2</t>
  </si>
  <si>
    <t>用安全用户平面定位（SUPL）进行位置报告的方法和设备</t>
  </si>
  <si>
    <t>安德烈亚斯·瓦赫特|斯蒂芬·埃奇|柯克·伯勒斯</t>
  </si>
  <si>
    <t>安德烈亚斯·瓦赫特</t>
  </si>
  <si>
    <t>2005/08/25</t>
  </si>
  <si>
    <t>2006/08/25</t>
  </si>
  <si>
    <t>CN03137555.3</t>
  </si>
  <si>
    <t>同步码分多址系统中基于可靠性的串行干扰抵消方法</t>
  </si>
  <si>
    <t>周世东|任晓东|赵明</t>
  </si>
  <si>
    <t>1.37</t>
  </si>
  <si>
    <t>CN200880126801.5</t>
  </si>
  <si>
    <t>干扰检测及减轻</t>
  </si>
  <si>
    <t>克里斯托·科米纳克斯|丹尼尔·F·菲利波维奇</t>
  </si>
  <si>
    <t>克里斯托·科米纳克斯</t>
  </si>
  <si>
    <t>CN03137573.1</t>
  </si>
  <si>
    <t>用于OFDM下差错敏感型业务的资源调度方法</t>
  </si>
  <si>
    <t>周世东|肖亮|王京|周春晖|粟欣</t>
  </si>
  <si>
    <t>30.49</t>
  </si>
  <si>
    <t>CN200780039620.4</t>
  </si>
  <si>
    <t>子带调度以及调整功率放大器回退</t>
  </si>
  <si>
    <t>A·戈罗霍夫|M·J·博兰|A·阿格拉瓦尔|N·布尚|T·卡道斯|A·F·纳吉布</t>
  </si>
  <si>
    <t>A·戈罗霍夫</t>
  </si>
  <si>
    <t>2006/10/26</t>
  </si>
  <si>
    <t>2007/10/26</t>
  </si>
  <si>
    <t>CN03137565.0</t>
  </si>
  <si>
    <t>用于频域均衡的导频插入与信道参数估计的方法</t>
  </si>
  <si>
    <t>周世东|赵明|周春晖|王京|施婷婷|任晓东|张秀军</t>
  </si>
  <si>
    <t>20.92</t>
  </si>
  <si>
    <t>CN200580009914.3</t>
  </si>
  <si>
    <t>用于在OFDM系统中缓解过剩延迟的时间滤波</t>
  </si>
  <si>
    <t>达南杰伊·阿肖克·戈尔|阿肖克·曼特拉瓦迪|凌复云|基兰·穆克维利|拉古拉曼·克里希南穆尔蒂</t>
  </si>
  <si>
    <t>达南杰伊·阿肖克·戈尔</t>
  </si>
  <si>
    <t>2004/01/28</t>
  </si>
  <si>
    <t>2005/01/20</t>
  </si>
  <si>
    <t>CN03107881.8</t>
  </si>
  <si>
    <t>用于多载波码分多址系统的时间同步方法</t>
  </si>
  <si>
    <t>北京邮电大学|北京三星通信技术研究有限公司</t>
  </si>
  <si>
    <t>北京邮电大学|三星电子株式会社</t>
  </si>
  <si>
    <t>张平|阮丹|刘乐</t>
  </si>
  <si>
    <t>2003/04/01</t>
  </si>
  <si>
    <t>H04J 13/00</t>
  </si>
  <si>
    <t>13.0</t>
  </si>
  <si>
    <t>CN200680012947.8</t>
  </si>
  <si>
    <t>放置用于傅里叶变换函数的收集窗的方法和设备</t>
  </si>
  <si>
    <t>B·沃斯尔杰|A·曼特里瓦迪|林福韵|R·维加严|M·M·王</t>
  </si>
  <si>
    <t>B·沃斯尔杰</t>
  </si>
  <si>
    <t>2006/03/09</t>
  </si>
  <si>
    <t>2015/04/08</t>
  </si>
  <si>
    <t>CN03124223.5</t>
  </si>
  <si>
    <t>无导频辅助的正交频分复用全数字同步跟踪方法及系统</t>
  </si>
  <si>
    <t>匡麟玲|倪祖耀|陆建华</t>
  </si>
  <si>
    <t>匡麟玲</t>
  </si>
  <si>
    <t>2003/05/01</t>
  </si>
  <si>
    <t>2003/10/29</t>
  </si>
  <si>
    <t>2.53</t>
  </si>
  <si>
    <t>CN200680034791.3</t>
  </si>
  <si>
    <t>多载波通信系统中的导频分组和路由协议</t>
  </si>
  <si>
    <t>P·J·布莱克</t>
  </si>
  <si>
    <t>2005/09/22</t>
  </si>
  <si>
    <t>2006/09/22</t>
  </si>
  <si>
    <t>2012/11/07</t>
  </si>
  <si>
    <t>CN03116541.9</t>
  </si>
  <si>
    <t>一种立体视频流编码/解码器及其立体视频编解码系统</t>
  </si>
  <si>
    <t>张兆杨|安平|骆艳|戏昌满</t>
  </si>
  <si>
    <t>张兆杨</t>
  </si>
  <si>
    <t>2003/04/22</t>
  </si>
  <si>
    <t>33.50</t>
  </si>
  <si>
    <t>CN200780027815.7</t>
  </si>
  <si>
    <t>用单视场低功率移动装置实时捕获及产生立体图像及视频</t>
  </si>
  <si>
    <t>王浩宏|李向川|沙拉什·曼朱娜什</t>
  </si>
  <si>
    <t>王浩宏</t>
  </si>
  <si>
    <t>2007/07/30</t>
  </si>
  <si>
    <t>CN00112094.8</t>
  </si>
  <si>
    <t>瞬时位相连续化差分四相移键控调制技术</t>
  </si>
  <si>
    <t>南京师范大学</t>
  </si>
  <si>
    <t>殷奎喜|刘国锦</t>
  </si>
  <si>
    <t>殷奎喜</t>
  </si>
  <si>
    <t>2000/02/25</t>
  </si>
  <si>
    <t>2003/10/15</t>
  </si>
  <si>
    <t>CN200680004767.5</t>
  </si>
  <si>
    <t>生成用于两层QPSK turbo解码的比特LLR值的方法及相关 UT、 处理器</t>
  </si>
  <si>
    <t>F·凌|昌圣泰|T·孙|J·柏</t>
  </si>
  <si>
    <t>F·凌</t>
  </si>
  <si>
    <t>2005/01/11</t>
  </si>
  <si>
    <t>2011/09/28</t>
  </si>
  <si>
    <t>H04L 27/34</t>
  </si>
  <si>
    <t>CN03111549.7</t>
  </si>
  <si>
    <t>一种小口径微波天线辐射特性测试装置和测试方法</t>
  </si>
  <si>
    <t>李明伟|李承斌</t>
  </si>
  <si>
    <t>李明伟</t>
  </si>
  <si>
    <t>2003/04/24</t>
  </si>
  <si>
    <t>G01R 29/10</t>
  </si>
  <si>
    <t>CN200580044478.3</t>
  </si>
  <si>
    <t>用于确定无线装置的辐射性能的方法和设备</t>
  </si>
  <si>
    <t>E·T·奥萨基|K·福克|P·M·泽肯多夫|T·M·卡塞特|P·蒂尔尼|G·A·布赖特|J·李</t>
  </si>
  <si>
    <t>E·T·奥萨基</t>
  </si>
  <si>
    <t>2004/10/25</t>
  </si>
  <si>
    <t>2005/10/25</t>
  </si>
  <si>
    <t>2010/02/24</t>
  </si>
  <si>
    <t>CN02144310.6</t>
  </si>
  <si>
    <t>多媒体数据的防错方法和防错设备</t>
  </si>
  <si>
    <t>1997/10/14</t>
  </si>
  <si>
    <t>2002/10/09</t>
  </si>
  <si>
    <t>2003/06/11</t>
  </si>
  <si>
    <t>CN200880120115.7</t>
  </si>
  <si>
    <t>用于OFDMA系统的前向和反向移位选择性HARQ合并方案</t>
  </si>
  <si>
    <t>J·H·朴|B·T·沈|J·W·金|S·A·格拉兹科|S·纳纳瓦蒂|J·W·朴</t>
  </si>
  <si>
    <t>J·H·朴</t>
  </si>
  <si>
    <t>2008/12/12</t>
  </si>
  <si>
    <t>CN01132032.X</t>
  </si>
  <si>
    <t>一种高速CDMA无线通信网</t>
  </si>
  <si>
    <t>宁波大学|宁波大宁通信技术发展有限公司</t>
  </si>
  <si>
    <t>何加铭|陈晓明|曾兴斌|励金祥</t>
  </si>
  <si>
    <t>何加铭</t>
  </si>
  <si>
    <t>2001/10/26</t>
  </si>
  <si>
    <t>12/165,663</t>
  </si>
  <si>
    <t>Wireless communication of turbo coded data with time diversity</t>
  </si>
  <si>
    <t>Ling; Fuyun|Sun; Thomas|Tian; Tao|Krishnamoorthi; Raghuraman|Jiang; Jing</t>
  </si>
  <si>
    <t>Ling; Fuyun</t>
  </si>
  <si>
    <t>2008/07/01</t>
  </si>
  <si>
    <t>2015/03/17</t>
  </si>
  <si>
    <t>CN02150783.X</t>
  </si>
  <si>
    <t>谐振腔增强的n型砷化镓远红外探测器的反射镜</t>
  </si>
  <si>
    <t>沈文忠|张月蘅|骆海涛</t>
  </si>
  <si>
    <t>沈文忠</t>
  </si>
  <si>
    <t>2002/11/28</t>
  </si>
  <si>
    <t>2003/04/23</t>
  </si>
  <si>
    <t>H01L 31/0232</t>
  </si>
  <si>
    <t>1.25</t>
  </si>
  <si>
    <t>CN200880108464.7</t>
  </si>
  <si>
    <t>干涉式光伏电池</t>
  </si>
  <si>
    <t>卡斯拉·哈泽尼|马尼什·科塔里|徐刚</t>
  </si>
  <si>
    <t>卡斯拉·哈泽尼</t>
  </si>
  <si>
    <t>2007/09/24</t>
  </si>
  <si>
    <t>CN02156678.X</t>
  </si>
  <si>
    <t>基于波形相关法的语音信号基音周期检测方法</t>
  </si>
  <si>
    <t>CN200480017506.8</t>
  </si>
  <si>
    <t>组合式数模转换器和信号滤波器</t>
  </si>
  <si>
    <t>约瑟夫·帕特里克·伯克</t>
  </si>
  <si>
    <t>2004/04/23</t>
  </si>
  <si>
    <t>H04L 27/04</t>
  </si>
  <si>
    <t>CN02139288.9</t>
  </si>
  <si>
    <t>一种全分布式的集群网络服务器系统</t>
  </si>
  <si>
    <t>金海|鲜丰|谭光|程斌|韩宗芬|李胜利|庞丽萍</t>
  </si>
  <si>
    <t>2002/11/14</t>
  </si>
  <si>
    <t>2003/04/16</t>
  </si>
  <si>
    <t>8.92</t>
  </si>
  <si>
    <t>12/438,039</t>
  </si>
  <si>
    <t>Predictive QoS resource allocation for rapid session establishment</t>
  </si>
  <si>
    <t>Gill; Harleen K.|Ananthanarayanan; Arulmozhi K.|Santhanam; Arvind V.</t>
  </si>
  <si>
    <t>Gill; Harleen K.</t>
  </si>
  <si>
    <t>CN01108788.9</t>
  </si>
  <si>
    <t>同步多载波扩频地面数字电视传输系统</t>
  </si>
  <si>
    <t>2001/08/28</t>
  </si>
  <si>
    <t>5.78</t>
  </si>
  <si>
    <t>CN200980101327.5</t>
  </si>
  <si>
    <t>用于使编码器与复用器同步的方法和装置</t>
  </si>
  <si>
    <t>J·刘|C·崔|D·G·瑟尔|V·R·安雷迪|B·S·帕哈</t>
  </si>
  <si>
    <t>J·刘</t>
  </si>
  <si>
    <t>2009/03/31</t>
  </si>
  <si>
    <t>CN02148649.2</t>
  </si>
  <si>
    <t>改进的非规则低密度奇偶校验码纠错译码方法</t>
  </si>
  <si>
    <t>2002/11/15</t>
  </si>
  <si>
    <t>2003/03/26</t>
  </si>
  <si>
    <t>H03M 13/03</t>
  </si>
  <si>
    <t>37.88</t>
  </si>
  <si>
    <t>CN200480041865.7</t>
  </si>
  <si>
    <t>用来减少在消息传递译码器中的误码基底的方法和设备</t>
  </si>
  <si>
    <t>汤姆·里查德森</t>
  </si>
  <si>
    <t>2003/12/22</t>
  </si>
  <si>
    <t>2011/11/16</t>
  </si>
  <si>
    <t>CN02146768.4</t>
  </si>
  <si>
    <t>基于感知器的彩色图像无损压缩方法</t>
  </si>
  <si>
    <t>贾克斌|沈兰荪|庄新月|张鸿源|徐遄</t>
  </si>
  <si>
    <t>贾克斌</t>
  </si>
  <si>
    <t>2002/11/08</t>
  </si>
  <si>
    <t>7.84</t>
  </si>
  <si>
    <t>CN200580022275.4</t>
  </si>
  <si>
    <t>预测帧里的加权预测方法和设备</t>
  </si>
  <si>
    <t>肯特·G·沃克|维贾亚拉克施密·R·拉维德朗</t>
  </si>
  <si>
    <t>肯特·G·沃克</t>
  </si>
  <si>
    <t>2004/05/04</t>
  </si>
  <si>
    <t>2005/05/04</t>
  </si>
  <si>
    <t>CN02146013.2</t>
  </si>
  <si>
    <t>在虚拟环境多因素影响下生成逼真光照效果的方法</t>
  </si>
  <si>
    <t>陈小武|赵沁平</t>
  </si>
  <si>
    <t>陈小武</t>
  </si>
  <si>
    <t>2002/10/23</t>
  </si>
  <si>
    <t>G06T 17/50</t>
  </si>
  <si>
    <t>6.2</t>
  </si>
  <si>
    <t>15/260,633</t>
  </si>
  <si>
    <t>Modifying virtual object display properties to increase power performance of augmented reality devices</t>
  </si>
  <si>
    <t>Pandey; Umesh|Srinivasan; Chandrasekar|Forutanpour; Babak</t>
  </si>
  <si>
    <t>Pandey; Umesh</t>
  </si>
  <si>
    <t>2016/09/09</t>
  </si>
  <si>
    <t>G06T 11/60</t>
  </si>
  <si>
    <t>CN02131338.5</t>
  </si>
  <si>
    <t>时域同步的自适应块传输方法</t>
  </si>
  <si>
    <t>杨知行|胡宇鹏|潘长勇|杨林</t>
  </si>
  <si>
    <t>4.67</t>
  </si>
  <si>
    <t>CN02128864.X</t>
  </si>
  <si>
    <t>基于滑动窗口的对含导频的块信号的信道估计和均衡方法</t>
  </si>
  <si>
    <t>杨知行|胡宇鹏|王军|潘长勇|杨林</t>
  </si>
  <si>
    <t>2002/08/16</t>
  </si>
  <si>
    <t>2003/02/19</t>
  </si>
  <si>
    <t>43.54</t>
  </si>
  <si>
    <t>CN200680012286.9</t>
  </si>
  <si>
    <t>用于表征属于OFDM通信系统的通信信道的方法和设备</t>
  </si>
  <si>
    <t>CN02129482.8</t>
  </si>
  <si>
    <t>显式优先级信元中继方法和通信实现系统</t>
  </si>
  <si>
    <t>陈相宁|王京</t>
  </si>
  <si>
    <t>陈相宁</t>
  </si>
  <si>
    <t>2002/08/23</t>
  </si>
  <si>
    <t>4.41</t>
  </si>
  <si>
    <t>CN200480036712.3</t>
  </si>
  <si>
    <t>用于无线通信环境中的数据发射和处理的方法、设备和系统</t>
  </si>
  <si>
    <t>N·布尚|R·H·埃特金</t>
  </si>
  <si>
    <t>2003/11/03</t>
  </si>
  <si>
    <t>CN02124254.2</t>
  </si>
  <si>
    <t>清华大学|上海广电(集团)有限公司</t>
  </si>
  <si>
    <t>2003/02/12</t>
  </si>
  <si>
    <t>5.52</t>
  </si>
  <si>
    <t>CN02112699.2</t>
  </si>
  <si>
    <t>码分多址系统导频干扰抵消方法和装置</t>
  </si>
  <si>
    <t>东南大学|江苏东大通信技术有限责任公司</t>
  </si>
  <si>
    <t>尤肖虎|陈玉|许昌龙|赵春明|蒋良成|贾可</t>
  </si>
  <si>
    <t>2002/02/26</t>
  </si>
  <si>
    <t>1.82</t>
  </si>
  <si>
    <t>CN200580026750.5</t>
  </si>
  <si>
    <t>无线通信系统中用于消除导频干扰的方法</t>
  </si>
  <si>
    <t>A·V·科拉利|H·D·菲斯特|J·侯|J·E·斯米|R·帕多瓦尼|B·K·巴特勒|J·A·莱文|T·B·威尔伯恩|P·E·本德</t>
  </si>
  <si>
    <t>A·V·科拉利</t>
  </si>
  <si>
    <t>2004/06/30</t>
  </si>
  <si>
    <t>2005/06/30</t>
  </si>
  <si>
    <t>H04B  1/7107</t>
  </si>
  <si>
    <t>CN02103604.7</t>
  </si>
  <si>
    <t>一种结合运动特征的视频质量评价方法</t>
  </si>
  <si>
    <t>沈兰荪|田栋|姚志恒</t>
  </si>
  <si>
    <t>沈兰荪</t>
  </si>
  <si>
    <t>2002/01/29</t>
  </si>
  <si>
    <t>2002/07/17</t>
  </si>
  <si>
    <t>H04N  5/91</t>
  </si>
  <si>
    <t>24.51</t>
  </si>
  <si>
    <t>CN200580031075.5</t>
  </si>
  <si>
    <t>用于视频压缩的编码器辅助帧率上变换（EA-FRUC）的方法和装置</t>
  </si>
  <si>
    <t>维贾亚拉克施密·R.·拉维德朗|史方|戈登·肯特·沃克</t>
  </si>
  <si>
    <t>维贾亚拉克施密·R.·拉维德朗</t>
  </si>
  <si>
    <t>2004/07/20</t>
  </si>
  <si>
    <t>CN01140060.9</t>
  </si>
  <si>
    <t>3780点离散傅里叶变换处理器系统及其结构</t>
  </si>
  <si>
    <t>2001/11/23</t>
  </si>
  <si>
    <t>CN01142030.8</t>
  </si>
  <si>
    <t>带有厚层结构的晶片上金属层的图形化方法</t>
  </si>
  <si>
    <t>叶雄英|刘素艳|卜敏强|周兆英</t>
  </si>
  <si>
    <t>叶雄英</t>
  </si>
  <si>
    <t>2001/09/07</t>
  </si>
  <si>
    <t>B81B  7/02</t>
  </si>
  <si>
    <t>4.51</t>
  </si>
  <si>
    <t>11/491,047</t>
  </si>
  <si>
    <t>Support structure for MEMS device and methods therefor</t>
  </si>
  <si>
    <t>Sasagawa; Teruo|Chui; Clarence|Kothari; Manish|Ganti; SuryaPrakash|Sampsell; Jeffrey B.</t>
  </si>
  <si>
    <t>Sasagawa; Teruo</t>
  </si>
  <si>
    <t>2005/07/22</t>
  </si>
  <si>
    <t>2006/07/21</t>
  </si>
  <si>
    <t>2009/05/19</t>
  </si>
  <si>
    <t>H01L 21/00</t>
  </si>
  <si>
    <t>CN01120193.2</t>
  </si>
  <si>
    <t>现场实时产生宽带码分多址Turbo码内交织器算法及其装置</t>
  </si>
  <si>
    <t>信息产业部电信传输研究所|上海交通大学</t>
  </si>
  <si>
    <t>阮铭|徐友云|罗汉文|宋文涛</t>
  </si>
  <si>
    <t>阮铭</t>
  </si>
  <si>
    <t>2002/02/20</t>
  </si>
  <si>
    <t>2.33</t>
  </si>
  <si>
    <t>CN200580032869.3</t>
  </si>
  <si>
    <t>用于分集交织的系统和方法</t>
  </si>
  <si>
    <t>CN01142033.2</t>
  </si>
  <si>
    <t>一种网络环境下的计算机远程启动方法</t>
  </si>
  <si>
    <t>张尧学|周悦芝|王勇|彭玉坤|王晓辉</t>
  </si>
  <si>
    <t>2002/02/06</t>
  </si>
  <si>
    <t>G06F  9/445</t>
  </si>
  <si>
    <t>10.93</t>
  </si>
  <si>
    <t>CN200780101082.7</t>
  </si>
  <si>
    <t>调度下载：实现后台过程以接收广播数据</t>
  </si>
  <si>
    <t>G·A·罗斯洛克|J·P·麦克艾蒂|N·A·格拉斯曼</t>
  </si>
  <si>
    <t>G·A·罗斯洛克</t>
  </si>
  <si>
    <t>CN01100544.0</t>
  </si>
  <si>
    <t>快速视频运动估计方法</t>
  </si>
  <si>
    <t>李波|涂亚明</t>
  </si>
  <si>
    <t>李波</t>
  </si>
  <si>
    <t>2001/01/12</t>
  </si>
  <si>
    <t>2002/01/30</t>
  </si>
  <si>
    <t>39.35</t>
  </si>
  <si>
    <t>CN200680041688.1</t>
  </si>
  <si>
    <t>用于视频编码的多维毗邻块预测</t>
  </si>
  <si>
    <t>王凯|纳伦德拉纳特·马拉亚特|拉戈哈文德拉·C·纳加拉杰</t>
  </si>
  <si>
    <t>王凯</t>
  </si>
  <si>
    <t>CN01120078.2</t>
  </si>
  <si>
    <t>具有平顶和陡边响应的半导体光电探测器及实现方法</t>
  </si>
  <si>
    <t>北京邮电大学|中国科学院半导体研究所</t>
  </si>
  <si>
    <t>北京邮电大学|中国科学院</t>
  </si>
  <si>
    <t>钟源|任晓敏|黄永清|潘钟</t>
  </si>
  <si>
    <t>钟源</t>
  </si>
  <si>
    <t>2001/12/26</t>
  </si>
  <si>
    <t>H01L 31/00</t>
  </si>
  <si>
    <t>2.4</t>
  </si>
  <si>
    <t>CN01118673.9</t>
  </si>
  <si>
    <t>地面数字电视广播中的视频差错隐藏方法</t>
  </si>
  <si>
    <t>李楚翔|陆建华|顾钧</t>
  </si>
  <si>
    <t>李楚翔</t>
  </si>
  <si>
    <t>2001/06/08</t>
  </si>
  <si>
    <t>2001/11/28</t>
  </si>
  <si>
    <t>H04H  1/00</t>
  </si>
  <si>
    <t>12.82</t>
  </si>
  <si>
    <t>CN200680024235.8</t>
  </si>
  <si>
    <t>一种用于统一的错误隐匿框架的方法及设备</t>
  </si>
  <si>
    <t>石方|塞伊富拉·哈立德·奥古兹|苏密特·塞蒂|维贾雅拉克希米·R·拉韦恩德拉恩</t>
  </si>
  <si>
    <t>石方</t>
  </si>
  <si>
    <t>2006/05/11</t>
  </si>
  <si>
    <t>2013/10/30</t>
  </si>
  <si>
    <t>CN01115569.8</t>
  </si>
  <si>
    <t>一种动态调整平均长度以进行信道估计的方法和装置</t>
  </si>
  <si>
    <t>信息产业部电信传输研究所|东南大学</t>
  </si>
  <si>
    <t>董霄剑|蒋良成|尤肖虎|程时昕</t>
  </si>
  <si>
    <t>董霄剑</t>
  </si>
  <si>
    <t>2001/04/29</t>
  </si>
  <si>
    <t>2001/09/12</t>
  </si>
  <si>
    <t>7.0</t>
  </si>
  <si>
    <t>CN028232542</t>
  </si>
  <si>
    <t>改变基于多普勒频率的自适应均衡器长度的方法和装置</t>
  </si>
  <si>
    <t>J·E·斯密|I·J·弗南德斯-科巴顿|S·贾亚拉曼</t>
  </si>
  <si>
    <t>J·E·斯密</t>
  </si>
  <si>
    <t>2001/09/25</t>
  </si>
  <si>
    <t>2002/09/24</t>
  </si>
  <si>
    <t>CN01102211.6</t>
  </si>
  <si>
    <t>降低多载波通信系统中信号的峰均功率比的方法和装置</t>
  </si>
  <si>
    <t>黄晓|陆建华|郑君里</t>
  </si>
  <si>
    <t>黄晓</t>
  </si>
  <si>
    <t>2001/01/18</t>
  </si>
  <si>
    <t>2001/07/25</t>
  </si>
  <si>
    <t>5.50</t>
  </si>
  <si>
    <t>CN200910263726.3</t>
  </si>
  <si>
    <t>无线通信系统中用于多载波调制的峰均功率比管理</t>
  </si>
  <si>
    <t>R·维贾亚恩|A·阿格拉瓦尔|S·K·杰哈</t>
  </si>
  <si>
    <t>R·维贾亚恩</t>
  </si>
  <si>
    <t>2003/02/18</t>
  </si>
  <si>
    <t>2004/02/17</t>
  </si>
  <si>
    <t>H04W 52/34</t>
  </si>
  <si>
    <t>CN00130298.1</t>
  </si>
  <si>
    <t>基于语音识别的信息校核方法</t>
  </si>
  <si>
    <t>刘加|单翼翔|刘润生</t>
  </si>
  <si>
    <t>刘加</t>
  </si>
  <si>
    <t>2000/11/10</t>
  </si>
  <si>
    <t>2001/05/02</t>
  </si>
  <si>
    <t>24.43</t>
  </si>
  <si>
    <t>CN03810691.4</t>
  </si>
  <si>
    <t>通过分析源信号的冗余特征进行稳健话音识别的方法</t>
  </si>
  <si>
    <t>N·马拉亚斯|H·加鲁达德里</t>
  </si>
  <si>
    <t>N·马拉亚斯</t>
  </si>
  <si>
    <t>2002/03/20</t>
  </si>
  <si>
    <t>2012/04/04</t>
  </si>
  <si>
    <t>G10L 15/20</t>
  </si>
  <si>
    <t>CN98807949.6</t>
  </si>
  <si>
    <t>用于神经网络中的信号处理的动态突触</t>
  </si>
  <si>
    <t>南加州大学</t>
  </si>
  <si>
    <t>J·-S·廖|T·W·伯格</t>
  </si>
  <si>
    <t>J·-S·廖</t>
  </si>
  <si>
    <t>1997/06/11</t>
  </si>
  <si>
    <t>1998/06/11</t>
  </si>
  <si>
    <t>2000/09/06</t>
  </si>
  <si>
    <t>G06E</t>
  </si>
  <si>
    <t>G06E  1/00</t>
  </si>
  <si>
    <t>2.91</t>
  </si>
  <si>
    <t>CN201280035922.5</t>
  </si>
  <si>
    <t>稳健的神经时间编码、学习以及使用振荡来为记忆进行细胞募集的方法和设备</t>
  </si>
  <si>
    <t>J·F·亨泽格|V·H·陈</t>
  </si>
  <si>
    <t>2011/07/21</t>
  </si>
  <si>
    <t>CN99100060.9</t>
  </si>
  <si>
    <t>适用于宽带码分多址信号传输的帧结构</t>
  </si>
  <si>
    <t>张平|李泽宪|陈志强|王月珍</t>
  </si>
  <si>
    <t>1999/01/04</t>
  </si>
  <si>
    <t>1999/09/08</t>
  </si>
  <si>
    <t>CN200680034954.8</t>
  </si>
  <si>
    <t>用于仅前向链路物理层的系统和方法</t>
  </si>
  <si>
    <t>凌福云|穆拉利·拉马斯瓦米·查里|拉吉夫·维贾扬|阿肖克·曼特拉瓦蒂|阿罗克·库马尔·古普塔|克里斯纳·基兰·穆卡维力|迈克尔·茂·王|博杨·弗尔采利|布鲁斯·克林斯</t>
  </si>
  <si>
    <t>凌福云</t>
  </si>
  <si>
    <t>2006/07/27</t>
  </si>
  <si>
    <t>CN98104492.1</t>
  </si>
  <si>
    <t>多用户码分多址接收机</t>
  </si>
  <si>
    <t>新加坡国立大学无线通信中心|澳琪技术中心(新加坡)私人有限公司</t>
  </si>
  <si>
    <t>新加坡国立大学|澳琪技术中心新加坡私人有限公司</t>
  </si>
  <si>
    <t>林廷润|拉斯穆森|杉本大树</t>
  </si>
  <si>
    <t>林廷润</t>
  </si>
  <si>
    <t>1997/08/26</t>
  </si>
  <si>
    <t>1998/02/19</t>
  </si>
  <si>
    <t>1999/03/03</t>
  </si>
  <si>
    <t>SG</t>
  </si>
  <si>
    <t>CN200380101784.7</t>
  </si>
  <si>
    <t>使用预测误差方法用于导频估计的方法和装置</t>
  </si>
  <si>
    <t>F·阿布里夏姆卡尔|K·科鲁兹 -戴尔加多</t>
  </si>
  <si>
    <t>F·阿布里夏姆卡尔</t>
  </si>
  <si>
    <t>2010/06/02</t>
  </si>
  <si>
    <t>CN98102187.5</t>
  </si>
  <si>
    <t>用于压电器件激振的新型驱动电源</t>
  </si>
  <si>
    <t>孟永钢|田煜|敖勇</t>
  </si>
  <si>
    <t>孟永钢</t>
  </si>
  <si>
    <t>1998/05/29</t>
  </si>
  <si>
    <t>1999/02/03</t>
  </si>
  <si>
    <t>H02M  7/12</t>
  </si>
  <si>
    <t>6.16</t>
  </si>
  <si>
    <t>CN200880012915.7</t>
  </si>
  <si>
    <t>开关电容器积分与求和电路</t>
  </si>
  <si>
    <t>伦纳特·K-A·马特</t>
  </si>
  <si>
    <t>2008/04/21</t>
  </si>
  <si>
    <t>CN95197480.7</t>
  </si>
  <si>
    <t>受控的频率相位锁定环路</t>
  </si>
  <si>
    <t>柯廷技术大学</t>
  </si>
  <si>
    <t>马丁.希尔</t>
  </si>
  <si>
    <t>1994/11/28</t>
  </si>
  <si>
    <t>1995/11/28</t>
  </si>
  <si>
    <t>1998/02/25</t>
  </si>
  <si>
    <t>H03L  7/07</t>
  </si>
  <si>
    <t>AU</t>
  </si>
  <si>
    <t>CN038079046</t>
  </si>
  <si>
    <t>无线通信系统的频率定时控制环路</t>
  </si>
  <si>
    <t>P·J·布莱克|N·辛德胡沙亚那</t>
  </si>
  <si>
    <t>2002/02/12</t>
  </si>
  <si>
    <t>CN95104289.0</t>
  </si>
  <si>
    <t>信号数字化仪</t>
  </si>
  <si>
    <t>连小珉|仪垂杰|谢华|蒋孝煜|吴敌</t>
  </si>
  <si>
    <t>连小珉</t>
  </si>
  <si>
    <t>1995/04/28</t>
  </si>
  <si>
    <t>G06F  3/05</t>
  </si>
  <si>
    <t>PCT/US2000/01223.2</t>
  </si>
  <si>
    <t>Adc sharing for keypad and touch panel of a phone</t>
  </si>
  <si>
    <t>Daniel D. Claxton</t>
  </si>
  <si>
    <t>1999/05/06</t>
  </si>
  <si>
    <t>2000/05/05</t>
  </si>
  <si>
    <t>2000/11/16</t>
  </si>
  <si>
    <t>H04M  1/02</t>
  </si>
  <si>
    <t>CN94101492.4</t>
  </si>
  <si>
    <t>一种无绳电话实现漫游和双向呼叫的方法及其系统</t>
  </si>
  <si>
    <t>朱健|王京</t>
  </si>
  <si>
    <t>朱健</t>
  </si>
  <si>
    <t>1994/03/04</t>
  </si>
  <si>
    <t>1995/08/09</t>
  </si>
  <si>
    <t>1.86</t>
  </si>
  <si>
    <t>CN201380053508.1</t>
  </si>
  <si>
    <t>控制移动设备与基站之间的通信</t>
  </si>
  <si>
    <t>Y·陆</t>
  </si>
  <si>
    <t>2012/10/15</t>
  </si>
  <si>
    <t>CN92103772.4</t>
  </si>
  <si>
    <t>电气化铁道无线电干扰传播特性的正弦测量方法</t>
  </si>
  <si>
    <t>北方交通大学</t>
  </si>
  <si>
    <t>张林昌|蒋守宁</t>
  </si>
  <si>
    <t>张林昌</t>
  </si>
  <si>
    <t>1992/05/23</t>
  </si>
  <si>
    <t>1993/12/15</t>
  </si>
  <si>
    <t>CN200780032901.7</t>
  </si>
  <si>
    <t>用于确定无线设备的辐射性能的方法和装置</t>
  </si>
  <si>
    <t>G·A·布赖特|D·M·菲恩纳蒂</t>
  </si>
  <si>
    <t>G·A·布赖特</t>
  </si>
  <si>
    <t>H04L  7/10</t>
  </si>
  <si>
    <t>CN91100600.1</t>
  </si>
  <si>
    <t>舰船综合导航实用复合型自适应卡尔曼滤波器</t>
  </si>
  <si>
    <t>中国人民解放军海军大连舰艇学院</t>
  </si>
  <si>
    <t>金青华|牟建云|沈鹤鸣|雪为宁|王刚</t>
  </si>
  <si>
    <t>金青华</t>
  </si>
  <si>
    <t>1991/02/04</t>
  </si>
  <si>
    <t>1992/08/26</t>
  </si>
  <si>
    <t>G01C 23/00</t>
  </si>
  <si>
    <t>CN200810125158.6</t>
  </si>
  <si>
    <t>根据初始粗位置估计提供经改善的位置估计的方法和装置</t>
  </si>
  <si>
    <t>P·戈尔|A·瓦亚诺斯</t>
  </si>
  <si>
    <t>P·戈尔</t>
  </si>
  <si>
    <t>2001/03/05</t>
  </si>
  <si>
    <t>2002/03/01</t>
  </si>
  <si>
    <t>CN90102931.9</t>
  </si>
  <si>
    <t>抛物面天线高效率馈源</t>
  </si>
  <si>
    <t>沈民谊</t>
  </si>
  <si>
    <t>1990/09/01</t>
  </si>
  <si>
    <t>1992/03/18</t>
  </si>
  <si>
    <t>H01Q  3/00</t>
  </si>
  <si>
    <t>qualcomm</t>
    <phoneticPr fontId="1" type="noConversion"/>
  </si>
  <si>
    <t>qualcomm</t>
    <phoneticPr fontId="1" type="noConversion"/>
  </si>
  <si>
    <t>qualcomm</t>
    <phoneticPr fontId="1" type="noConversion"/>
  </si>
  <si>
    <t>电子科技大学</t>
    <phoneticPr fontId="1" type="noConversion"/>
  </si>
  <si>
    <t>电子科技大学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</si>
</sst>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Calibri"/>
      <family val="2"/>
      <charset val="134"/>
    </font>
    <font>
      <sz val="9"/>
      <name val="Calibri"/>
      <family val="2"/>
      <charset val="134"/>
    </font>
    <font>
      <b/>
      <sz val="10"/>
      <color theme="1"/>
      <name val="Georgia"/>
      <family val="2"/>
      <charset val="134"/>
    </font>
    <font>
      <b/>
      <sz val="10"/>
      <color theme="1"/>
      <name val="Calibri"/>
      <family val="2"/>
      <charset val="134"/>
    </font>
    <font>
      <sz val="10"/>
      <name val="Calibri"/>
      <family val="2"/>
      <charset val="134"/>
    </font>
    <font>
      <sz val="10"/>
      <color rgb="FF0070C0"/>
      <name val="Calibri"/>
      <family val="2"/>
      <charset val="134"/>
    </font>
    <font>
      <sz val="10"/>
      <name val="宋体"/>
      <family val="3"/>
      <charset val="134"/>
    </font>
  </fonts>
  <fills count="4">
    <fill>
      <patternFill patternType="none"/>
    </fill>
    <fill>
      <patternFill patternType="gray125"/>
    </fill>
    <fill>
      <patternFill patternType="solid">
        <fgColor rgb="FFE7F9E8"/>
        <bgColor indexed="64"/>
      </patternFill>
    </fill>
    <fill>
      <patternFill patternType="solid">
        <fgColor rgb="FF60AA14"/>
        <bgColor indexed="64"/>
      </patternFill>
    </fill>
  </fills>
  <borders count="2">
    <border>
      <left/>
      <right/>
      <top/>
      <bottom/>
      <diagonal/>
    </border>
    <border>
      <left style="thin">
        <color rgb="FF99CC00"/>
      </left>
      <right style="thin">
        <color rgb="FF99CC00"/>
      </right>
      <top style="thin">
        <color rgb="FF99CC00"/>
      </top>
      <bottom style="thin">
        <color rgb="FF99CC00"/>
      </bottom>
      <diagonal style="thin">
        <color rgb="FF99CC00"/>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xf numFmtId="0" fontId="4" fillId="0" borderId="0" xfId="0" applyFont="1"/>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57"/>
  <sheetViews>
    <sheetView tabSelected="1" workbookViewId="0">
      <pane ySplit="2" topLeftCell="A3" activePane="bottomLeft" state="frozen"/>
      <selection pane="bottomLeft" activeCell="E5" sqref="E5"/>
    </sheetView>
  </sheetViews>
  <sheetFormatPr defaultRowHeight="12.75" x14ac:dyDescent="0.2"/>
  <cols>
    <col min="1" max="1" width="15" style="4" customWidth="1"/>
    <col min="2" max="2" width="18" style="4" customWidth="1"/>
    <col min="3" max="3" width="30" style="4" customWidth="1"/>
    <col min="4" max="5" width="20" style="4" customWidth="1"/>
    <col min="6" max="7" width="10" style="4" customWidth="1"/>
    <col min="8" max="10" width="11" style="4" customWidth="1"/>
    <col min="11" max="11" width="6" style="4" customWidth="1"/>
    <col min="12" max="12" width="11" style="4" customWidth="1"/>
    <col min="13" max="14" width="5" style="4" customWidth="1"/>
    <col min="15" max="16" width="10" style="4" customWidth="1"/>
    <col min="17" max="29" width="5" style="4" customWidth="1"/>
    <col min="30" max="30" width="8" style="4" customWidth="1"/>
    <col min="31" max="31" width="6" style="4" customWidth="1"/>
    <col min="32" max="16384" width="9.140625" style="4"/>
  </cols>
  <sheetData>
    <row r="1" spans="1:31" x14ac:dyDescent="0.2">
      <c r="A1" s="1" t="str">
        <f>HYPERLINK("http://www.patentics.cn","Patentics")</f>
        <v>Patentics</v>
      </c>
      <c r="B1" s="2" t="s">
        <v>0</v>
      </c>
      <c r="C1" s="2" t="s">
        <v>1</v>
      </c>
      <c r="D1" s="2" t="s">
        <v>0</v>
      </c>
      <c r="E1" s="3"/>
      <c r="F1" s="3"/>
      <c r="G1" s="3"/>
    </row>
    <row r="2" spans="1:31" ht="38.25" x14ac:dyDescent="0.2">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c r="AB2" s="5" t="s">
        <v>29</v>
      </c>
      <c r="AC2" s="5" t="s">
        <v>30</v>
      </c>
      <c r="AD2" s="5" t="s">
        <v>31</v>
      </c>
      <c r="AE2" s="5" t="s">
        <v>32</v>
      </c>
    </row>
    <row r="3" spans="1:31" ht="51" x14ac:dyDescent="0.2">
      <c r="A3" s="6" t="str">
        <f>HYPERLINK("http://www.patentics.cn/invokexml.do?sx=showpatent_cn&amp;sf=ShowPatent&amp;spn=CN1642051&amp;sx=showpatent_cn&amp;sv=ce97e6f59fbff907802b84f37f5abaff","CN1642051")</f>
        <v>CN1642051</v>
      </c>
      <c r="B3" s="7" t="s">
        <v>33</v>
      </c>
      <c r="C3" s="7" t="s">
        <v>34</v>
      </c>
      <c r="D3" s="10" t="s">
        <v>8566</v>
      </c>
      <c r="E3" s="10" t="s">
        <v>8567</v>
      </c>
      <c r="F3" s="7" t="s">
        <v>36</v>
      </c>
      <c r="G3" s="7" t="s">
        <v>37</v>
      </c>
      <c r="H3" s="7" t="s">
        <v>0</v>
      </c>
      <c r="I3" s="7" t="s">
        <v>38</v>
      </c>
      <c r="J3" s="7" t="s">
        <v>39</v>
      </c>
      <c r="K3" s="7" t="s">
        <v>40</v>
      </c>
      <c r="L3" s="7" t="s">
        <v>41</v>
      </c>
      <c r="M3" s="7">
        <v>2</v>
      </c>
      <c r="N3" s="7">
        <v>70</v>
      </c>
      <c r="O3" s="7" t="s">
        <v>42</v>
      </c>
      <c r="P3" s="7" t="s">
        <v>43</v>
      </c>
      <c r="Q3" s="7">
        <v>0</v>
      </c>
      <c r="R3" s="7">
        <v>0</v>
      </c>
      <c r="S3" s="7">
        <v>0</v>
      </c>
      <c r="T3" s="7">
        <v>0</v>
      </c>
      <c r="U3" s="7">
        <v>49</v>
      </c>
      <c r="V3" s="7" t="s">
        <v>44</v>
      </c>
      <c r="W3" s="7">
        <v>0</v>
      </c>
      <c r="X3" s="7">
        <v>49</v>
      </c>
      <c r="Y3" s="7">
        <v>4</v>
      </c>
      <c r="Z3" s="7">
        <v>3</v>
      </c>
      <c r="AA3" s="7">
        <v>0</v>
      </c>
      <c r="AB3" s="7">
        <v>0</v>
      </c>
      <c r="AC3" s="7" t="s">
        <v>0</v>
      </c>
      <c r="AD3" s="7">
        <v>43</v>
      </c>
      <c r="AE3" s="7" t="s">
        <v>45</v>
      </c>
    </row>
    <row r="4" spans="1:31" ht="127.5" x14ac:dyDescent="0.2">
      <c r="A4" s="8" t="str">
        <f>HYPERLINK("http://www.patentics.cn/invokexml.do?sx=showpatent_cn&amp;sf=ShowPatent&amp;spn=US8446892&amp;sx=showpatent_cn&amp;sv=1800ae2fafe4133800c17b89e455656f","US8446892")</f>
        <v>US8446892</v>
      </c>
      <c r="B4" s="9" t="s">
        <v>46</v>
      </c>
      <c r="C4" s="9" t="s">
        <v>47</v>
      </c>
      <c r="D4" s="9" t="s">
        <v>48</v>
      </c>
      <c r="E4" s="9" t="s">
        <v>8565</v>
      </c>
      <c r="F4" s="9" t="s">
        <v>50</v>
      </c>
      <c r="G4" s="9" t="s">
        <v>51</v>
      </c>
      <c r="H4" s="9" t="s">
        <v>52</v>
      </c>
      <c r="I4" s="9" t="s">
        <v>53</v>
      </c>
      <c r="J4" s="9" t="s">
        <v>54</v>
      </c>
      <c r="K4" s="9" t="s">
        <v>55</v>
      </c>
      <c r="L4" s="9" t="s">
        <v>56</v>
      </c>
      <c r="M4" s="9">
        <v>67</v>
      </c>
      <c r="N4" s="9">
        <v>15</v>
      </c>
      <c r="O4" s="9" t="s">
        <v>57</v>
      </c>
      <c r="P4" s="9" t="s">
        <v>58</v>
      </c>
      <c r="Q4" s="9">
        <v>1032</v>
      </c>
      <c r="R4" s="9">
        <v>236</v>
      </c>
      <c r="S4" s="9">
        <v>796</v>
      </c>
      <c r="T4" s="9">
        <v>179</v>
      </c>
      <c r="U4" s="9">
        <v>35</v>
      </c>
      <c r="V4" s="9" t="s">
        <v>59</v>
      </c>
      <c r="W4" s="9">
        <v>29</v>
      </c>
      <c r="X4" s="9">
        <v>6</v>
      </c>
      <c r="Y4" s="9">
        <v>3</v>
      </c>
      <c r="Z4" s="9">
        <v>1</v>
      </c>
      <c r="AA4" s="9">
        <v>23</v>
      </c>
      <c r="AB4" s="9">
        <v>15</v>
      </c>
      <c r="AC4" s="9">
        <v>14</v>
      </c>
      <c r="AD4" s="9" t="s">
        <v>0</v>
      </c>
      <c r="AE4" s="9" t="s">
        <v>60</v>
      </c>
    </row>
    <row r="5" spans="1:31" ht="51" x14ac:dyDescent="0.2">
      <c r="A5" s="8" t="str">
        <f>HYPERLINK("http://www.patentics.cn/invokexml.do?sx=showpatent_cn&amp;sf=ShowPatent&amp;spn=US8462859&amp;sx=showpatent_cn&amp;sv=c83ebdc13b38407dc3d4317ce8c7fa50","US8462859")</f>
        <v>US8462859</v>
      </c>
      <c r="B5" s="9" t="s">
        <v>61</v>
      </c>
      <c r="C5" s="9" t="s">
        <v>62</v>
      </c>
      <c r="D5" s="9" t="s">
        <v>48</v>
      </c>
      <c r="E5" s="9" t="s">
        <v>8564</v>
      </c>
      <c r="F5" s="9" t="s">
        <v>63</v>
      </c>
      <c r="G5" s="9" t="s">
        <v>64</v>
      </c>
      <c r="H5" s="9" t="s">
        <v>65</v>
      </c>
      <c r="I5" s="9" t="s">
        <v>66</v>
      </c>
      <c r="J5" s="9" t="s">
        <v>67</v>
      </c>
      <c r="K5" s="9" t="s">
        <v>68</v>
      </c>
      <c r="L5" s="9" t="s">
        <v>69</v>
      </c>
      <c r="M5" s="9">
        <v>38</v>
      </c>
      <c r="N5" s="9">
        <v>13</v>
      </c>
      <c r="O5" s="9" t="s">
        <v>57</v>
      </c>
      <c r="P5" s="9" t="s">
        <v>58</v>
      </c>
      <c r="Q5" s="9">
        <v>960</v>
      </c>
      <c r="R5" s="9">
        <v>223</v>
      </c>
      <c r="S5" s="9">
        <v>737</v>
      </c>
      <c r="T5" s="9">
        <v>175</v>
      </c>
      <c r="U5" s="9">
        <v>38</v>
      </c>
      <c r="V5" s="9" t="s">
        <v>70</v>
      </c>
      <c r="W5" s="9">
        <v>38</v>
      </c>
      <c r="X5" s="9">
        <v>0</v>
      </c>
      <c r="Y5" s="9">
        <v>1</v>
      </c>
      <c r="Z5" s="9">
        <v>1</v>
      </c>
      <c r="AA5" s="9">
        <v>13</v>
      </c>
      <c r="AB5" s="9">
        <v>7</v>
      </c>
      <c r="AC5" s="9">
        <v>14</v>
      </c>
      <c r="AD5" s="9" t="s">
        <v>0</v>
      </c>
      <c r="AE5" s="9" t="s">
        <v>60</v>
      </c>
    </row>
    <row r="6" spans="1:31" ht="114.75" x14ac:dyDescent="0.2">
      <c r="A6" s="8" t="str">
        <f>HYPERLINK("http://www.patentics.cn/invokexml.do?sx=showpatent_cn&amp;sf=ShowPatent&amp;spn=US8477684&amp;sx=showpatent_cn&amp;sv=557867ff2f959f80339dc340514a9d49","US8477684")</f>
        <v>US8477684</v>
      </c>
      <c r="B6" s="9" t="s">
        <v>71</v>
      </c>
      <c r="C6" s="9" t="s">
        <v>72</v>
      </c>
      <c r="D6" s="9" t="s">
        <v>48</v>
      </c>
      <c r="E6" s="9" t="s">
        <v>8563</v>
      </c>
      <c r="F6" s="9" t="s">
        <v>73</v>
      </c>
      <c r="G6" s="9" t="s">
        <v>74</v>
      </c>
      <c r="H6" s="9" t="s">
        <v>75</v>
      </c>
      <c r="I6" s="9" t="s">
        <v>76</v>
      </c>
      <c r="J6" s="9" t="s">
        <v>77</v>
      </c>
      <c r="K6" s="9" t="s">
        <v>55</v>
      </c>
      <c r="L6" s="9" t="s">
        <v>56</v>
      </c>
      <c r="M6" s="9">
        <v>44</v>
      </c>
      <c r="N6" s="9">
        <v>10</v>
      </c>
      <c r="O6" s="9" t="s">
        <v>57</v>
      </c>
      <c r="P6" s="9" t="s">
        <v>58</v>
      </c>
      <c r="Q6" s="9">
        <v>969</v>
      </c>
      <c r="R6" s="9">
        <v>224</v>
      </c>
      <c r="S6" s="9">
        <v>745</v>
      </c>
      <c r="T6" s="9">
        <v>179</v>
      </c>
      <c r="U6" s="9">
        <v>38</v>
      </c>
      <c r="V6" s="9" t="s">
        <v>78</v>
      </c>
      <c r="W6" s="9">
        <v>29</v>
      </c>
      <c r="X6" s="9">
        <v>9</v>
      </c>
      <c r="Y6" s="9">
        <v>2</v>
      </c>
      <c r="Z6" s="9">
        <v>2</v>
      </c>
      <c r="AA6" s="9">
        <v>16</v>
      </c>
      <c r="AB6" s="9">
        <v>10</v>
      </c>
      <c r="AC6" s="9">
        <v>14</v>
      </c>
      <c r="AD6" s="9" t="s">
        <v>0</v>
      </c>
      <c r="AE6" s="9" t="s">
        <v>60</v>
      </c>
    </row>
    <row r="7" spans="1:31" ht="127.5" x14ac:dyDescent="0.2">
      <c r="A7" s="8" t="str">
        <f>HYPERLINK("http://www.patentics.cn/invokexml.do?sx=showpatent_cn&amp;sf=ShowPatent&amp;spn=US8547951&amp;sx=showpatent_cn&amp;sv=24bedb4058cf850d3c3c60df06970a4a","US8547951")</f>
        <v>US8547951</v>
      </c>
      <c r="B7" s="9" t="s">
        <v>79</v>
      </c>
      <c r="C7" s="9" t="s">
        <v>47</v>
      </c>
      <c r="D7" s="9" t="s">
        <v>48</v>
      </c>
      <c r="E7" s="9" t="s">
        <v>49</v>
      </c>
      <c r="F7" s="9" t="s">
        <v>50</v>
      </c>
      <c r="G7" s="9" t="s">
        <v>51</v>
      </c>
      <c r="H7" s="9" t="s">
        <v>52</v>
      </c>
      <c r="I7" s="9" t="s">
        <v>80</v>
      </c>
      <c r="J7" s="9" t="s">
        <v>81</v>
      </c>
      <c r="K7" s="9" t="s">
        <v>55</v>
      </c>
      <c r="L7" s="9" t="s">
        <v>56</v>
      </c>
      <c r="M7" s="9">
        <v>40</v>
      </c>
      <c r="N7" s="9">
        <v>18</v>
      </c>
      <c r="O7" s="9" t="s">
        <v>57</v>
      </c>
      <c r="P7" s="9" t="s">
        <v>58</v>
      </c>
      <c r="Q7" s="9">
        <v>962</v>
      </c>
      <c r="R7" s="9">
        <v>218</v>
      </c>
      <c r="S7" s="9">
        <v>744</v>
      </c>
      <c r="T7" s="9">
        <v>177</v>
      </c>
      <c r="U7" s="9">
        <v>8</v>
      </c>
      <c r="V7" s="9" t="s">
        <v>82</v>
      </c>
      <c r="W7" s="9">
        <v>3</v>
      </c>
      <c r="X7" s="9">
        <v>5</v>
      </c>
      <c r="Y7" s="9">
        <v>2</v>
      </c>
      <c r="Z7" s="9">
        <v>1</v>
      </c>
      <c r="AA7" s="9">
        <v>23</v>
      </c>
      <c r="AB7" s="9">
        <v>15</v>
      </c>
      <c r="AC7" s="9">
        <v>14</v>
      </c>
      <c r="AD7" s="9" t="s">
        <v>0</v>
      </c>
      <c r="AE7" s="9" t="s">
        <v>60</v>
      </c>
    </row>
    <row r="8" spans="1:31" ht="38.25" x14ac:dyDescent="0.2">
      <c r="A8" s="8" t="str">
        <f>HYPERLINK("http://www.patentics.cn/invokexml.do?sx=showpatent_cn&amp;sf=ShowPatent&amp;spn=US8565194&amp;sx=showpatent_cn&amp;sv=d71ed62093e5276a4ce10824498440a4","US8565194")</f>
        <v>US8565194</v>
      </c>
      <c r="B8" s="9" t="s">
        <v>83</v>
      </c>
      <c r="C8" s="9" t="s">
        <v>84</v>
      </c>
      <c r="D8" s="9" t="s">
        <v>48</v>
      </c>
      <c r="E8" s="9" t="s">
        <v>49</v>
      </c>
      <c r="F8" s="9" t="s">
        <v>85</v>
      </c>
      <c r="G8" s="9" t="s">
        <v>86</v>
      </c>
      <c r="H8" s="9" t="s">
        <v>87</v>
      </c>
      <c r="I8" s="9" t="s">
        <v>87</v>
      </c>
      <c r="J8" s="9" t="s">
        <v>88</v>
      </c>
      <c r="K8" s="9" t="s">
        <v>89</v>
      </c>
      <c r="L8" s="9" t="s">
        <v>90</v>
      </c>
      <c r="M8" s="9">
        <v>60</v>
      </c>
      <c r="N8" s="9">
        <v>9</v>
      </c>
      <c r="O8" s="9" t="s">
        <v>57</v>
      </c>
      <c r="P8" s="9" t="s">
        <v>58</v>
      </c>
      <c r="Q8" s="9">
        <v>994</v>
      </c>
      <c r="R8" s="9">
        <v>225</v>
      </c>
      <c r="S8" s="9">
        <v>769</v>
      </c>
      <c r="T8" s="9">
        <v>184</v>
      </c>
      <c r="U8" s="9">
        <v>27</v>
      </c>
      <c r="V8" s="9" t="s">
        <v>91</v>
      </c>
      <c r="W8" s="9">
        <v>15</v>
      </c>
      <c r="X8" s="9">
        <v>12</v>
      </c>
      <c r="Y8" s="9">
        <v>4</v>
      </c>
      <c r="Z8" s="9">
        <v>2</v>
      </c>
      <c r="AA8" s="9">
        <v>18</v>
      </c>
      <c r="AB8" s="9">
        <v>12</v>
      </c>
      <c r="AC8" s="9">
        <v>14</v>
      </c>
      <c r="AD8" s="9" t="s">
        <v>0</v>
      </c>
      <c r="AE8" s="9" t="s">
        <v>60</v>
      </c>
    </row>
    <row r="9" spans="1:31" ht="153" x14ac:dyDescent="0.2">
      <c r="A9" s="8" t="str">
        <f>HYPERLINK("http://www.patentics.cn/invokexml.do?sx=showpatent_cn&amp;sf=ShowPatent&amp;spn=US8582509&amp;sx=showpatent_cn&amp;sv=43646bce687e594b7460ce4ae6e9126c","US8582509")</f>
        <v>US8582509</v>
      </c>
      <c r="B9" s="9" t="s">
        <v>92</v>
      </c>
      <c r="C9" s="9" t="s">
        <v>93</v>
      </c>
      <c r="D9" s="9" t="s">
        <v>48</v>
      </c>
      <c r="E9" s="9" t="s">
        <v>49</v>
      </c>
      <c r="F9" s="9" t="s">
        <v>94</v>
      </c>
      <c r="G9" s="9" t="s">
        <v>74</v>
      </c>
      <c r="H9" s="9" t="s">
        <v>87</v>
      </c>
      <c r="I9" s="9" t="s">
        <v>87</v>
      </c>
      <c r="J9" s="9" t="s">
        <v>95</v>
      </c>
      <c r="K9" s="9" t="s">
        <v>96</v>
      </c>
      <c r="L9" s="9" t="s">
        <v>97</v>
      </c>
      <c r="M9" s="9">
        <v>56</v>
      </c>
      <c r="N9" s="9">
        <v>9</v>
      </c>
      <c r="O9" s="9" t="s">
        <v>57</v>
      </c>
      <c r="P9" s="9" t="s">
        <v>58</v>
      </c>
      <c r="Q9" s="9">
        <v>1026</v>
      </c>
      <c r="R9" s="9">
        <v>238</v>
      </c>
      <c r="S9" s="9">
        <v>788</v>
      </c>
      <c r="T9" s="9">
        <v>178</v>
      </c>
      <c r="U9" s="9">
        <v>21</v>
      </c>
      <c r="V9" s="9" t="s">
        <v>98</v>
      </c>
      <c r="W9" s="9">
        <v>15</v>
      </c>
      <c r="X9" s="9">
        <v>6</v>
      </c>
      <c r="Y9" s="9">
        <v>1</v>
      </c>
      <c r="Z9" s="9">
        <v>2</v>
      </c>
      <c r="AA9" s="9">
        <v>8</v>
      </c>
      <c r="AB9" s="9">
        <v>7</v>
      </c>
      <c r="AC9" s="9">
        <v>14</v>
      </c>
      <c r="AD9" s="9" t="s">
        <v>0</v>
      </c>
      <c r="AE9" s="9" t="s">
        <v>60</v>
      </c>
    </row>
    <row r="10" spans="1:31" ht="25.5" x14ac:dyDescent="0.2">
      <c r="A10" s="8" t="str">
        <f>HYPERLINK("http://www.patentics.cn/invokexml.do?sx=showpatent_cn&amp;sf=ShowPatent&amp;spn=US8599945&amp;sx=showpatent_cn&amp;sv=702c4f1db7b50a81499644d79d73d4f9","US8599945")</f>
        <v>US8599945</v>
      </c>
      <c r="B10" s="9" t="s">
        <v>99</v>
      </c>
      <c r="C10" s="9" t="s">
        <v>100</v>
      </c>
      <c r="D10" s="9" t="s">
        <v>48</v>
      </c>
      <c r="E10" s="9" t="s">
        <v>49</v>
      </c>
      <c r="F10" s="9" t="s">
        <v>64</v>
      </c>
      <c r="G10" s="9" t="s">
        <v>64</v>
      </c>
      <c r="H10" s="9" t="s">
        <v>101</v>
      </c>
      <c r="I10" s="9" t="s">
        <v>102</v>
      </c>
      <c r="J10" s="9" t="s">
        <v>103</v>
      </c>
      <c r="K10" s="9" t="s">
        <v>89</v>
      </c>
      <c r="L10" s="9" t="s">
        <v>104</v>
      </c>
      <c r="M10" s="9">
        <v>26</v>
      </c>
      <c r="N10" s="9">
        <v>10</v>
      </c>
      <c r="O10" s="9" t="s">
        <v>57</v>
      </c>
      <c r="P10" s="9" t="s">
        <v>58</v>
      </c>
      <c r="Q10" s="9">
        <v>996</v>
      </c>
      <c r="R10" s="9">
        <v>223</v>
      </c>
      <c r="S10" s="9">
        <v>773</v>
      </c>
      <c r="T10" s="9">
        <v>179</v>
      </c>
      <c r="U10" s="9">
        <v>12</v>
      </c>
      <c r="V10" s="9" t="s">
        <v>105</v>
      </c>
      <c r="W10" s="9">
        <v>10</v>
      </c>
      <c r="X10" s="9">
        <v>2</v>
      </c>
      <c r="Y10" s="9">
        <v>3</v>
      </c>
      <c r="Z10" s="9">
        <v>1</v>
      </c>
      <c r="AA10" s="9">
        <v>19</v>
      </c>
      <c r="AB10" s="9">
        <v>13</v>
      </c>
      <c r="AC10" s="9">
        <v>14</v>
      </c>
      <c r="AD10" s="9" t="s">
        <v>0</v>
      </c>
      <c r="AE10" s="9" t="s">
        <v>60</v>
      </c>
    </row>
    <row r="11" spans="1:31" ht="102" x14ac:dyDescent="0.2">
      <c r="A11" s="8" t="str">
        <f>HYPERLINK("http://www.patentics.cn/invokexml.do?sx=showpatent_cn&amp;sf=ShowPatent&amp;spn=US8611284&amp;sx=showpatent_cn&amp;sv=9b9b44942794ab4a79db55812a4f3c42","US8611284")</f>
        <v>US8611284</v>
      </c>
      <c r="B11" s="9" t="s">
        <v>106</v>
      </c>
      <c r="C11" s="9" t="s">
        <v>107</v>
      </c>
      <c r="D11" s="9" t="s">
        <v>48</v>
      </c>
      <c r="E11" s="9" t="s">
        <v>49</v>
      </c>
      <c r="F11" s="9" t="s">
        <v>108</v>
      </c>
      <c r="G11" s="9" t="s">
        <v>109</v>
      </c>
      <c r="H11" s="9" t="s">
        <v>110</v>
      </c>
      <c r="I11" s="9" t="s">
        <v>111</v>
      </c>
      <c r="J11" s="9" t="s">
        <v>112</v>
      </c>
      <c r="K11" s="9" t="s">
        <v>96</v>
      </c>
      <c r="L11" s="9" t="s">
        <v>113</v>
      </c>
      <c r="M11" s="9">
        <v>32</v>
      </c>
      <c r="N11" s="9">
        <v>12</v>
      </c>
      <c r="O11" s="9" t="s">
        <v>57</v>
      </c>
      <c r="P11" s="9" t="s">
        <v>58</v>
      </c>
      <c r="Q11" s="9">
        <v>936</v>
      </c>
      <c r="R11" s="9">
        <v>187</v>
      </c>
      <c r="S11" s="9">
        <v>749</v>
      </c>
      <c r="T11" s="9">
        <v>175</v>
      </c>
      <c r="U11" s="9">
        <v>2</v>
      </c>
      <c r="V11" s="9" t="s">
        <v>114</v>
      </c>
      <c r="W11" s="9">
        <v>2</v>
      </c>
      <c r="X11" s="9">
        <v>0</v>
      </c>
      <c r="Y11" s="9">
        <v>1</v>
      </c>
      <c r="Z11" s="9">
        <v>1</v>
      </c>
      <c r="AA11" s="9">
        <v>47</v>
      </c>
      <c r="AB11" s="9">
        <v>17</v>
      </c>
      <c r="AC11" s="9">
        <v>14</v>
      </c>
      <c r="AD11" s="9" t="s">
        <v>0</v>
      </c>
      <c r="AE11" s="9" t="s">
        <v>60</v>
      </c>
    </row>
    <row r="12" spans="1:31" ht="63.75" x14ac:dyDescent="0.2">
      <c r="A12" s="8" t="str">
        <f>HYPERLINK("http://www.patentics.cn/invokexml.do?sx=showpatent_cn&amp;sf=ShowPatent&amp;spn=US8644292&amp;sx=showpatent_cn&amp;sv=99e3f921ca8863ba799896c701258b63","US8644292")</f>
        <v>US8644292</v>
      </c>
      <c r="B12" s="9" t="s">
        <v>115</v>
      </c>
      <c r="C12" s="9" t="s">
        <v>116</v>
      </c>
      <c r="D12" s="9" t="s">
        <v>117</v>
      </c>
      <c r="E12" s="9" t="s">
        <v>49</v>
      </c>
      <c r="F12" s="9" t="s">
        <v>118</v>
      </c>
      <c r="G12" s="9" t="s">
        <v>86</v>
      </c>
      <c r="H12" s="9" t="s">
        <v>119</v>
      </c>
      <c r="I12" s="9" t="s">
        <v>87</v>
      </c>
      <c r="J12" s="9" t="s">
        <v>120</v>
      </c>
      <c r="K12" s="9" t="s">
        <v>40</v>
      </c>
      <c r="L12" s="9" t="s">
        <v>121</v>
      </c>
      <c r="M12" s="9">
        <v>29</v>
      </c>
      <c r="N12" s="9">
        <v>15</v>
      </c>
      <c r="O12" s="9" t="s">
        <v>57</v>
      </c>
      <c r="P12" s="9" t="s">
        <v>58</v>
      </c>
      <c r="Q12" s="9">
        <v>1008</v>
      </c>
      <c r="R12" s="9">
        <v>236</v>
      </c>
      <c r="S12" s="9">
        <v>772</v>
      </c>
      <c r="T12" s="9">
        <v>177</v>
      </c>
      <c r="U12" s="9">
        <v>10</v>
      </c>
      <c r="V12" s="9" t="s">
        <v>122</v>
      </c>
      <c r="W12" s="9">
        <v>8</v>
      </c>
      <c r="X12" s="9">
        <v>2</v>
      </c>
      <c r="Y12" s="9">
        <v>2</v>
      </c>
      <c r="Z12" s="9">
        <v>1</v>
      </c>
      <c r="AA12" s="9">
        <v>44</v>
      </c>
      <c r="AB12" s="9">
        <v>19</v>
      </c>
      <c r="AC12" s="9">
        <v>14</v>
      </c>
      <c r="AD12" s="9" t="s">
        <v>0</v>
      </c>
      <c r="AE12" s="9" t="s">
        <v>60</v>
      </c>
    </row>
    <row r="13" spans="1:31" ht="51" x14ac:dyDescent="0.2">
      <c r="A13" s="8" t="str">
        <f>HYPERLINK("http://www.patentics.cn/invokexml.do?sx=showpatent_cn&amp;sf=ShowPatent&amp;spn=US8681764&amp;sx=showpatent_cn&amp;sv=c0766a24f96cf2b97cd05a7573d2c080","US8681764")</f>
        <v>US8681764</v>
      </c>
      <c r="B13" s="9" t="s">
        <v>123</v>
      </c>
      <c r="C13" s="9" t="s">
        <v>124</v>
      </c>
      <c r="D13" s="9" t="s">
        <v>48</v>
      </c>
      <c r="E13" s="9" t="s">
        <v>49</v>
      </c>
      <c r="F13" s="9" t="s">
        <v>125</v>
      </c>
      <c r="G13" s="9" t="s">
        <v>126</v>
      </c>
      <c r="H13" s="9" t="s">
        <v>127</v>
      </c>
      <c r="I13" s="9" t="s">
        <v>128</v>
      </c>
      <c r="J13" s="9" t="s">
        <v>129</v>
      </c>
      <c r="K13" s="9" t="s">
        <v>89</v>
      </c>
      <c r="L13" s="9" t="s">
        <v>130</v>
      </c>
      <c r="M13" s="9">
        <v>20</v>
      </c>
      <c r="N13" s="9">
        <v>10</v>
      </c>
      <c r="O13" s="9" t="s">
        <v>57</v>
      </c>
      <c r="P13" s="9" t="s">
        <v>58</v>
      </c>
      <c r="Q13" s="9">
        <v>1004</v>
      </c>
      <c r="R13" s="9">
        <v>234</v>
      </c>
      <c r="S13" s="9">
        <v>770</v>
      </c>
      <c r="T13" s="9">
        <v>179</v>
      </c>
      <c r="U13" s="9">
        <v>3</v>
      </c>
      <c r="V13" s="9" t="s">
        <v>131</v>
      </c>
      <c r="W13" s="9">
        <v>3</v>
      </c>
      <c r="X13" s="9">
        <v>0</v>
      </c>
      <c r="Y13" s="9">
        <v>1</v>
      </c>
      <c r="Z13" s="9">
        <v>1</v>
      </c>
      <c r="AA13" s="9">
        <v>5</v>
      </c>
      <c r="AB13" s="9">
        <v>3</v>
      </c>
      <c r="AC13" s="9">
        <v>14</v>
      </c>
      <c r="AD13" s="9" t="s">
        <v>0</v>
      </c>
      <c r="AE13" s="9" t="s">
        <v>60</v>
      </c>
    </row>
    <row r="14" spans="1:31" ht="127.5" x14ac:dyDescent="0.2">
      <c r="A14" s="8" t="str">
        <f>HYPERLINK("http://www.patentics.cn/invokexml.do?sx=showpatent_cn&amp;sf=ShowPatent&amp;spn=US8693405&amp;sx=showpatent_cn&amp;sv=8b5c3d75111bd8f5b25299604862ac94","US8693405")</f>
        <v>US8693405</v>
      </c>
      <c r="B14" s="9" t="s">
        <v>132</v>
      </c>
      <c r="C14" s="9" t="s">
        <v>133</v>
      </c>
      <c r="D14" s="9" t="s">
        <v>48</v>
      </c>
      <c r="E14" s="9" t="s">
        <v>49</v>
      </c>
      <c r="F14" s="9" t="s">
        <v>134</v>
      </c>
      <c r="G14" s="9" t="s">
        <v>51</v>
      </c>
      <c r="H14" s="9" t="s">
        <v>87</v>
      </c>
      <c r="I14" s="9" t="s">
        <v>87</v>
      </c>
      <c r="J14" s="9" t="s">
        <v>135</v>
      </c>
      <c r="K14" s="9" t="s">
        <v>89</v>
      </c>
      <c r="L14" s="9" t="s">
        <v>136</v>
      </c>
      <c r="M14" s="9">
        <v>33</v>
      </c>
      <c r="N14" s="9">
        <v>15</v>
      </c>
      <c r="O14" s="9" t="s">
        <v>57</v>
      </c>
      <c r="P14" s="9" t="s">
        <v>58</v>
      </c>
      <c r="Q14" s="9">
        <v>1080</v>
      </c>
      <c r="R14" s="9">
        <v>243</v>
      </c>
      <c r="S14" s="9">
        <v>837</v>
      </c>
      <c r="T14" s="9">
        <v>192</v>
      </c>
      <c r="U14" s="9">
        <v>11</v>
      </c>
      <c r="V14" s="9" t="s">
        <v>137</v>
      </c>
      <c r="W14" s="9">
        <v>11</v>
      </c>
      <c r="X14" s="9">
        <v>0</v>
      </c>
      <c r="Y14" s="9">
        <v>1</v>
      </c>
      <c r="Z14" s="9">
        <v>1</v>
      </c>
      <c r="AA14" s="9">
        <v>23</v>
      </c>
      <c r="AB14" s="9">
        <v>16</v>
      </c>
      <c r="AC14" s="9">
        <v>14</v>
      </c>
      <c r="AD14" s="9" t="s">
        <v>0</v>
      </c>
      <c r="AE14" s="9" t="s">
        <v>60</v>
      </c>
    </row>
    <row r="15" spans="1:31" ht="76.5" x14ac:dyDescent="0.2">
      <c r="A15" s="8" t="str">
        <f>HYPERLINK("http://www.patentics.cn/invokexml.do?sx=showpatent_cn&amp;sf=ShowPatent&amp;spn=US8787347&amp;sx=showpatent_cn&amp;sv=cdcc20da7e84f36c16a7e128e6f111e6","US8787347")</f>
        <v>US8787347</v>
      </c>
      <c r="B15" s="9" t="s">
        <v>138</v>
      </c>
      <c r="C15" s="9" t="s">
        <v>116</v>
      </c>
      <c r="D15" s="9" t="s">
        <v>117</v>
      </c>
      <c r="E15" s="9" t="s">
        <v>49</v>
      </c>
      <c r="F15" s="9" t="s">
        <v>139</v>
      </c>
      <c r="G15" s="9" t="s">
        <v>86</v>
      </c>
      <c r="H15" s="9" t="s">
        <v>119</v>
      </c>
      <c r="I15" s="9" t="s">
        <v>140</v>
      </c>
      <c r="J15" s="9" t="s">
        <v>141</v>
      </c>
      <c r="K15" s="9" t="s">
        <v>40</v>
      </c>
      <c r="L15" s="9" t="s">
        <v>121</v>
      </c>
      <c r="M15" s="9">
        <v>17</v>
      </c>
      <c r="N15" s="9">
        <v>10</v>
      </c>
      <c r="O15" s="9" t="s">
        <v>57</v>
      </c>
      <c r="P15" s="9" t="s">
        <v>58</v>
      </c>
      <c r="Q15" s="9">
        <v>1096</v>
      </c>
      <c r="R15" s="9">
        <v>248</v>
      </c>
      <c r="S15" s="9">
        <v>848</v>
      </c>
      <c r="T15" s="9">
        <v>192</v>
      </c>
      <c r="U15" s="9">
        <v>5</v>
      </c>
      <c r="V15" s="9" t="s">
        <v>142</v>
      </c>
      <c r="W15" s="9">
        <v>2</v>
      </c>
      <c r="X15" s="9">
        <v>3</v>
      </c>
      <c r="Y15" s="9">
        <v>2</v>
      </c>
      <c r="Z15" s="9">
        <v>1</v>
      </c>
      <c r="AA15" s="9">
        <v>44</v>
      </c>
      <c r="AB15" s="9">
        <v>19</v>
      </c>
      <c r="AC15" s="9">
        <v>14</v>
      </c>
      <c r="AD15" s="9" t="s">
        <v>0</v>
      </c>
      <c r="AE15" s="9" t="s">
        <v>60</v>
      </c>
    </row>
    <row r="16" spans="1:31" ht="89.25" x14ac:dyDescent="0.2">
      <c r="A16" s="8" t="str">
        <f>HYPERLINK("http://www.patentics.cn/invokexml.do?sx=showpatent_cn&amp;sf=ShowPatent&amp;spn=US8831607&amp;sx=showpatent_cn&amp;sv=3754fa9e476c82a08c431f459ee28ae9","US8831607")</f>
        <v>US8831607</v>
      </c>
      <c r="B16" s="9" t="s">
        <v>143</v>
      </c>
      <c r="C16" s="9" t="s">
        <v>144</v>
      </c>
      <c r="D16" s="9" t="s">
        <v>48</v>
      </c>
      <c r="E16" s="9" t="s">
        <v>49</v>
      </c>
      <c r="F16" s="9" t="s">
        <v>145</v>
      </c>
      <c r="G16" s="9" t="s">
        <v>146</v>
      </c>
      <c r="H16" s="9" t="s">
        <v>147</v>
      </c>
      <c r="I16" s="9" t="s">
        <v>148</v>
      </c>
      <c r="J16" s="9" t="s">
        <v>149</v>
      </c>
      <c r="K16" s="9" t="s">
        <v>55</v>
      </c>
      <c r="L16" s="9" t="s">
        <v>150</v>
      </c>
      <c r="M16" s="9">
        <v>24</v>
      </c>
      <c r="N16" s="9">
        <v>20</v>
      </c>
      <c r="O16" s="9" t="s">
        <v>57</v>
      </c>
      <c r="P16" s="9" t="s">
        <v>58</v>
      </c>
      <c r="Q16" s="9">
        <v>607</v>
      </c>
      <c r="R16" s="9">
        <v>151</v>
      </c>
      <c r="S16" s="9">
        <v>456</v>
      </c>
      <c r="T16" s="9">
        <v>133</v>
      </c>
      <c r="U16" s="9">
        <v>1</v>
      </c>
      <c r="V16" s="9" t="s">
        <v>114</v>
      </c>
      <c r="W16" s="9">
        <v>1</v>
      </c>
      <c r="X16" s="9">
        <v>0</v>
      </c>
      <c r="Y16" s="9">
        <v>1</v>
      </c>
      <c r="Z16" s="9">
        <v>1</v>
      </c>
      <c r="AA16" s="9">
        <v>10</v>
      </c>
      <c r="AB16" s="9">
        <v>7</v>
      </c>
      <c r="AC16" s="9">
        <v>14</v>
      </c>
      <c r="AD16" s="9" t="s">
        <v>0</v>
      </c>
      <c r="AE16" s="9" t="s">
        <v>60</v>
      </c>
    </row>
    <row r="17" spans="1:31" ht="178.5" x14ac:dyDescent="0.2">
      <c r="A17" s="8" t="str">
        <f>HYPERLINK("http://www.patentics.cn/invokexml.do?sx=showpatent_cn&amp;sf=ShowPatent&amp;spn=US8842619&amp;sx=showpatent_cn&amp;sv=e195cd3bb857a649579b3da6d240d34c","US8842619")</f>
        <v>US8842619</v>
      </c>
      <c r="B17" s="9" t="s">
        <v>151</v>
      </c>
      <c r="C17" s="9" t="s">
        <v>93</v>
      </c>
      <c r="D17" s="9" t="s">
        <v>48</v>
      </c>
      <c r="E17" s="9" t="s">
        <v>49</v>
      </c>
      <c r="F17" s="9" t="s">
        <v>152</v>
      </c>
      <c r="G17" s="9" t="s">
        <v>153</v>
      </c>
      <c r="H17" s="9" t="s">
        <v>87</v>
      </c>
      <c r="I17" s="9" t="s">
        <v>154</v>
      </c>
      <c r="J17" s="9" t="s">
        <v>155</v>
      </c>
      <c r="K17" s="9" t="s">
        <v>96</v>
      </c>
      <c r="L17" s="9" t="s">
        <v>97</v>
      </c>
      <c r="M17" s="9">
        <v>20</v>
      </c>
      <c r="N17" s="9">
        <v>9</v>
      </c>
      <c r="O17" s="9" t="s">
        <v>57</v>
      </c>
      <c r="P17" s="9" t="s">
        <v>58</v>
      </c>
      <c r="Q17" s="9">
        <v>1020</v>
      </c>
      <c r="R17" s="9">
        <v>227</v>
      </c>
      <c r="S17" s="9">
        <v>793</v>
      </c>
      <c r="T17" s="9">
        <v>188</v>
      </c>
      <c r="U17" s="9">
        <v>15</v>
      </c>
      <c r="V17" s="9" t="s">
        <v>114</v>
      </c>
      <c r="W17" s="9">
        <v>1</v>
      </c>
      <c r="X17" s="9">
        <v>14</v>
      </c>
      <c r="Y17" s="9">
        <v>1</v>
      </c>
      <c r="Z17" s="9">
        <v>2</v>
      </c>
      <c r="AA17" s="9">
        <v>14</v>
      </c>
      <c r="AB17" s="9">
        <v>6</v>
      </c>
      <c r="AC17" s="9">
        <v>14</v>
      </c>
      <c r="AD17" s="9" t="s">
        <v>0</v>
      </c>
      <c r="AE17" s="9" t="s">
        <v>60</v>
      </c>
    </row>
    <row r="18" spans="1:31" ht="76.5" x14ac:dyDescent="0.2">
      <c r="A18" s="8" t="str">
        <f>HYPERLINK("http://www.patentics.cn/invokexml.do?sx=showpatent_cn&amp;sf=ShowPatent&amp;spn=US8879511&amp;sx=showpatent_cn&amp;sv=4e1559cdb71c1deab73273b6c038855e","US8879511")</f>
        <v>US8879511</v>
      </c>
      <c r="B18" s="9" t="s">
        <v>156</v>
      </c>
      <c r="C18" s="9" t="s">
        <v>157</v>
      </c>
      <c r="D18" s="9" t="s">
        <v>48</v>
      </c>
      <c r="E18" s="9" t="s">
        <v>49</v>
      </c>
      <c r="F18" s="9" t="s">
        <v>158</v>
      </c>
      <c r="G18" s="9" t="s">
        <v>109</v>
      </c>
      <c r="H18" s="9" t="s">
        <v>111</v>
      </c>
      <c r="I18" s="9" t="s">
        <v>111</v>
      </c>
      <c r="J18" s="9" t="s">
        <v>159</v>
      </c>
      <c r="K18" s="9" t="s">
        <v>68</v>
      </c>
      <c r="L18" s="9" t="s">
        <v>160</v>
      </c>
      <c r="M18" s="9">
        <v>27</v>
      </c>
      <c r="N18" s="9">
        <v>16</v>
      </c>
      <c r="O18" s="9" t="s">
        <v>57</v>
      </c>
      <c r="P18" s="9" t="s">
        <v>58</v>
      </c>
      <c r="Q18" s="9">
        <v>1139</v>
      </c>
      <c r="R18" s="9">
        <v>268</v>
      </c>
      <c r="S18" s="9">
        <v>871</v>
      </c>
      <c r="T18" s="9">
        <v>190</v>
      </c>
      <c r="U18" s="9">
        <v>15</v>
      </c>
      <c r="V18" s="9" t="s">
        <v>78</v>
      </c>
      <c r="W18" s="9">
        <v>5</v>
      </c>
      <c r="X18" s="9">
        <v>10</v>
      </c>
      <c r="Y18" s="9">
        <v>3</v>
      </c>
      <c r="Z18" s="9">
        <v>2</v>
      </c>
      <c r="AA18" s="9">
        <v>5</v>
      </c>
      <c r="AB18" s="9">
        <v>2</v>
      </c>
      <c r="AC18" s="9">
        <v>14</v>
      </c>
      <c r="AD18" s="9" t="s">
        <v>0</v>
      </c>
      <c r="AE18" s="9" t="s">
        <v>60</v>
      </c>
    </row>
    <row r="19" spans="1:31" ht="63.75" x14ac:dyDescent="0.2">
      <c r="A19" s="8" t="str">
        <f>HYPERLINK("http://www.patentics.cn/invokexml.do?sx=showpatent_cn&amp;sf=ShowPatent&amp;spn=US8885628&amp;sx=showpatent_cn&amp;sv=5985a359ffb87da69a12538fbd860fdc","US8885628")</f>
        <v>US8885628</v>
      </c>
      <c r="B19" s="9" t="s">
        <v>161</v>
      </c>
      <c r="C19" s="9" t="s">
        <v>162</v>
      </c>
      <c r="D19" s="9" t="s">
        <v>48</v>
      </c>
      <c r="E19" s="9" t="s">
        <v>49</v>
      </c>
      <c r="F19" s="9" t="s">
        <v>163</v>
      </c>
      <c r="G19" s="9" t="s">
        <v>164</v>
      </c>
      <c r="H19" s="9" t="s">
        <v>165</v>
      </c>
      <c r="I19" s="9" t="s">
        <v>166</v>
      </c>
      <c r="J19" s="9" t="s">
        <v>167</v>
      </c>
      <c r="K19" s="9" t="s">
        <v>89</v>
      </c>
      <c r="L19" s="9" t="s">
        <v>90</v>
      </c>
      <c r="M19" s="9">
        <v>62</v>
      </c>
      <c r="N19" s="9">
        <v>14</v>
      </c>
      <c r="O19" s="9" t="s">
        <v>57</v>
      </c>
      <c r="P19" s="9" t="s">
        <v>58</v>
      </c>
      <c r="Q19" s="9">
        <v>1120</v>
      </c>
      <c r="R19" s="9">
        <v>258</v>
      </c>
      <c r="S19" s="9">
        <v>862</v>
      </c>
      <c r="T19" s="9">
        <v>193</v>
      </c>
      <c r="U19" s="9">
        <v>19</v>
      </c>
      <c r="V19" s="9" t="s">
        <v>137</v>
      </c>
      <c r="W19" s="9">
        <v>5</v>
      </c>
      <c r="X19" s="9">
        <v>14</v>
      </c>
      <c r="Y19" s="9">
        <v>3</v>
      </c>
      <c r="Z19" s="9">
        <v>1</v>
      </c>
      <c r="AA19" s="9">
        <v>19</v>
      </c>
      <c r="AB19" s="9">
        <v>10</v>
      </c>
      <c r="AC19" s="9">
        <v>14</v>
      </c>
      <c r="AD19" s="9" t="s">
        <v>0</v>
      </c>
      <c r="AE19" s="9" t="s">
        <v>60</v>
      </c>
    </row>
    <row r="20" spans="1:31" ht="25.5" x14ac:dyDescent="0.2">
      <c r="A20" s="8" t="str">
        <f>HYPERLINK("http://www.patentics.cn/invokexml.do?sx=showpatent_cn&amp;sf=ShowPatent&amp;spn=US8917654&amp;sx=showpatent_cn&amp;sv=7d1841ae8f032b71f7445e2881e97c6e","US8917654")</f>
        <v>US8917654</v>
      </c>
      <c r="B20" s="9" t="s">
        <v>168</v>
      </c>
      <c r="C20" s="9" t="s">
        <v>169</v>
      </c>
      <c r="D20" s="9" t="s">
        <v>48</v>
      </c>
      <c r="E20" s="9" t="s">
        <v>49</v>
      </c>
      <c r="F20" s="9" t="s">
        <v>164</v>
      </c>
      <c r="G20" s="9" t="s">
        <v>164</v>
      </c>
      <c r="H20" s="9" t="s">
        <v>170</v>
      </c>
      <c r="I20" s="9" t="s">
        <v>171</v>
      </c>
      <c r="J20" s="9" t="s">
        <v>172</v>
      </c>
      <c r="K20" s="9" t="s">
        <v>89</v>
      </c>
      <c r="L20" s="9" t="s">
        <v>173</v>
      </c>
      <c r="M20" s="9">
        <v>70</v>
      </c>
      <c r="N20" s="9">
        <v>11</v>
      </c>
      <c r="O20" s="9" t="s">
        <v>57</v>
      </c>
      <c r="P20" s="9" t="s">
        <v>58</v>
      </c>
      <c r="Q20" s="9">
        <v>1152</v>
      </c>
      <c r="R20" s="9">
        <v>263</v>
      </c>
      <c r="S20" s="9">
        <v>889</v>
      </c>
      <c r="T20" s="9">
        <v>196</v>
      </c>
      <c r="U20" s="9">
        <v>9</v>
      </c>
      <c r="V20" s="9" t="s">
        <v>114</v>
      </c>
      <c r="W20" s="9">
        <v>1</v>
      </c>
      <c r="X20" s="9">
        <v>8</v>
      </c>
      <c r="Y20" s="9">
        <v>1</v>
      </c>
      <c r="Z20" s="9">
        <v>2</v>
      </c>
      <c r="AA20" s="9">
        <v>51</v>
      </c>
      <c r="AB20" s="9">
        <v>14</v>
      </c>
      <c r="AC20" s="9">
        <v>14</v>
      </c>
      <c r="AD20" s="9" t="s">
        <v>0</v>
      </c>
      <c r="AE20" s="9" t="s">
        <v>60</v>
      </c>
    </row>
    <row r="21" spans="1:31" ht="25.5" x14ac:dyDescent="0.2">
      <c r="A21" s="8" t="str">
        <f>HYPERLINK("http://www.patentics.cn/invokexml.do?sx=showpatent_cn&amp;sf=ShowPatent&amp;spn=US9036538&amp;sx=showpatent_cn&amp;sv=584cfa081eca28461e2cb239578d29fc","US9036538")</f>
        <v>US9036538</v>
      </c>
      <c r="B21" s="9" t="s">
        <v>174</v>
      </c>
      <c r="C21" s="9" t="s">
        <v>169</v>
      </c>
      <c r="D21" s="9" t="s">
        <v>48</v>
      </c>
      <c r="E21" s="9" t="s">
        <v>49</v>
      </c>
      <c r="F21" s="9" t="s">
        <v>164</v>
      </c>
      <c r="G21" s="9" t="s">
        <v>164</v>
      </c>
      <c r="H21" s="9" t="s">
        <v>170</v>
      </c>
      <c r="I21" s="9" t="s">
        <v>175</v>
      </c>
      <c r="J21" s="9" t="s">
        <v>176</v>
      </c>
      <c r="K21" s="9" t="s">
        <v>55</v>
      </c>
      <c r="L21" s="9" t="s">
        <v>56</v>
      </c>
      <c r="M21" s="9">
        <v>82</v>
      </c>
      <c r="N21" s="9">
        <v>14</v>
      </c>
      <c r="O21" s="9" t="s">
        <v>57</v>
      </c>
      <c r="P21" s="9" t="s">
        <v>58</v>
      </c>
      <c r="Q21" s="9">
        <v>1155</v>
      </c>
      <c r="R21" s="9">
        <v>247</v>
      </c>
      <c r="S21" s="9">
        <v>908</v>
      </c>
      <c r="T21" s="9">
        <v>198</v>
      </c>
      <c r="U21" s="9">
        <v>0</v>
      </c>
      <c r="V21" s="9" t="s">
        <v>114</v>
      </c>
      <c r="W21" s="9">
        <v>0</v>
      </c>
      <c r="X21" s="9">
        <v>0</v>
      </c>
      <c r="Y21" s="9">
        <v>0</v>
      </c>
      <c r="Z21" s="9">
        <v>0</v>
      </c>
      <c r="AA21" s="9">
        <v>51</v>
      </c>
      <c r="AB21" s="9">
        <v>14</v>
      </c>
      <c r="AC21" s="9">
        <v>14</v>
      </c>
      <c r="AD21" s="9" t="s">
        <v>0</v>
      </c>
      <c r="AE21" s="9" t="s">
        <v>60</v>
      </c>
    </row>
    <row r="22" spans="1:31" ht="89.25" x14ac:dyDescent="0.2">
      <c r="A22" s="8" t="str">
        <f>HYPERLINK("http://www.patentics.cn/invokexml.do?sx=showpatent_cn&amp;sf=ShowPatent&amp;spn=US9088384&amp;sx=showpatent_cn&amp;sv=f814b4d46fa71de4928fd3a196b86a37","US9088384")</f>
        <v>US9088384</v>
      </c>
      <c r="B22" s="9" t="s">
        <v>177</v>
      </c>
      <c r="C22" s="9" t="s">
        <v>178</v>
      </c>
      <c r="D22" s="9" t="s">
        <v>48</v>
      </c>
      <c r="E22" s="9" t="s">
        <v>49</v>
      </c>
      <c r="F22" s="9" t="s">
        <v>179</v>
      </c>
      <c r="G22" s="9" t="s">
        <v>74</v>
      </c>
      <c r="H22" s="9" t="s">
        <v>87</v>
      </c>
      <c r="I22" s="9" t="s">
        <v>180</v>
      </c>
      <c r="J22" s="9" t="s">
        <v>181</v>
      </c>
      <c r="K22" s="9" t="s">
        <v>182</v>
      </c>
      <c r="L22" s="9" t="s">
        <v>183</v>
      </c>
      <c r="M22" s="9">
        <v>29</v>
      </c>
      <c r="N22" s="9">
        <v>9</v>
      </c>
      <c r="O22" s="9" t="s">
        <v>57</v>
      </c>
      <c r="P22" s="9" t="s">
        <v>58</v>
      </c>
      <c r="Q22" s="9">
        <v>1131</v>
      </c>
      <c r="R22" s="9">
        <v>254</v>
      </c>
      <c r="S22" s="9">
        <v>877</v>
      </c>
      <c r="T22" s="9">
        <v>194</v>
      </c>
      <c r="U22" s="9">
        <v>0</v>
      </c>
      <c r="V22" s="9" t="s">
        <v>114</v>
      </c>
      <c r="W22" s="9">
        <v>0</v>
      </c>
      <c r="X22" s="9">
        <v>0</v>
      </c>
      <c r="Y22" s="9">
        <v>0</v>
      </c>
      <c r="Z22" s="9">
        <v>0</v>
      </c>
      <c r="AA22" s="9">
        <v>23</v>
      </c>
      <c r="AB22" s="9">
        <v>15</v>
      </c>
      <c r="AC22" s="9">
        <v>14</v>
      </c>
      <c r="AD22" s="9" t="s">
        <v>0</v>
      </c>
      <c r="AE22" s="9" t="s">
        <v>60</v>
      </c>
    </row>
    <row r="23" spans="1:31" ht="38.25" x14ac:dyDescent="0.2">
      <c r="A23" s="8" t="str">
        <f>HYPERLINK("http://www.patentics.cn/invokexml.do?sx=showpatent_cn&amp;sf=ShowPatent&amp;spn=US9130810&amp;sx=showpatent_cn&amp;sv=d15d0cabbe1ef48d97312fc9147eb1e3","US9130810")</f>
        <v>US9130810</v>
      </c>
      <c r="B23" s="9" t="s">
        <v>184</v>
      </c>
      <c r="C23" s="9" t="s">
        <v>185</v>
      </c>
      <c r="D23" s="9" t="s">
        <v>48</v>
      </c>
      <c r="E23" s="9" t="s">
        <v>49</v>
      </c>
      <c r="F23" s="9" t="s">
        <v>186</v>
      </c>
      <c r="G23" s="9" t="s">
        <v>187</v>
      </c>
      <c r="H23" s="9" t="s">
        <v>188</v>
      </c>
      <c r="I23" s="9" t="s">
        <v>189</v>
      </c>
      <c r="J23" s="9" t="s">
        <v>190</v>
      </c>
      <c r="K23" s="9" t="s">
        <v>40</v>
      </c>
      <c r="L23" s="9" t="s">
        <v>41</v>
      </c>
      <c r="M23" s="9">
        <v>48</v>
      </c>
      <c r="N23" s="9">
        <v>15</v>
      </c>
      <c r="O23" s="9" t="s">
        <v>57</v>
      </c>
      <c r="P23" s="9" t="s">
        <v>58</v>
      </c>
      <c r="Q23" s="9">
        <v>1129</v>
      </c>
      <c r="R23" s="9">
        <v>244</v>
      </c>
      <c r="S23" s="9">
        <v>885</v>
      </c>
      <c r="T23" s="9">
        <v>196</v>
      </c>
      <c r="U23" s="9">
        <v>3</v>
      </c>
      <c r="V23" s="9" t="s">
        <v>114</v>
      </c>
      <c r="W23" s="9">
        <v>0</v>
      </c>
      <c r="X23" s="9">
        <v>3</v>
      </c>
      <c r="Y23" s="9">
        <v>1</v>
      </c>
      <c r="Z23" s="9">
        <v>1</v>
      </c>
      <c r="AA23" s="9">
        <v>69</v>
      </c>
      <c r="AB23" s="9">
        <v>9</v>
      </c>
      <c r="AC23" s="9">
        <v>14</v>
      </c>
      <c r="AD23" s="9" t="s">
        <v>0</v>
      </c>
      <c r="AE23" s="9" t="s">
        <v>60</v>
      </c>
    </row>
    <row r="24" spans="1:31" ht="127.5" x14ac:dyDescent="0.2">
      <c r="A24" s="8" t="str">
        <f>HYPERLINK("http://www.patentics.cn/invokexml.do?sx=showpatent_cn&amp;sf=ShowPatent&amp;spn=US9136974&amp;sx=showpatent_cn&amp;sv=85eb001ad3635f01ed7bd665eb6d8061","US9136974")</f>
        <v>US9136974</v>
      </c>
      <c r="B24" s="9" t="s">
        <v>191</v>
      </c>
      <c r="C24" s="9" t="s">
        <v>192</v>
      </c>
      <c r="D24" s="9" t="s">
        <v>117</v>
      </c>
      <c r="E24" s="9" t="s">
        <v>49</v>
      </c>
      <c r="F24" s="9" t="s">
        <v>193</v>
      </c>
      <c r="G24" s="9" t="s">
        <v>86</v>
      </c>
      <c r="H24" s="9" t="s">
        <v>194</v>
      </c>
      <c r="I24" s="9" t="s">
        <v>195</v>
      </c>
      <c r="J24" s="9" t="s">
        <v>196</v>
      </c>
      <c r="K24" s="9" t="s">
        <v>55</v>
      </c>
      <c r="L24" s="9" t="s">
        <v>197</v>
      </c>
      <c r="M24" s="9">
        <v>28</v>
      </c>
      <c r="N24" s="9">
        <v>12</v>
      </c>
      <c r="O24" s="9" t="s">
        <v>57</v>
      </c>
      <c r="P24" s="9" t="s">
        <v>58</v>
      </c>
      <c r="Q24" s="9">
        <v>1132</v>
      </c>
      <c r="R24" s="9">
        <v>256</v>
      </c>
      <c r="S24" s="9">
        <v>876</v>
      </c>
      <c r="T24" s="9">
        <v>195</v>
      </c>
      <c r="U24" s="9">
        <v>0</v>
      </c>
      <c r="V24" s="9" t="s">
        <v>114</v>
      </c>
      <c r="W24" s="9">
        <v>0</v>
      </c>
      <c r="X24" s="9">
        <v>0</v>
      </c>
      <c r="Y24" s="9">
        <v>0</v>
      </c>
      <c r="Z24" s="9">
        <v>0</v>
      </c>
      <c r="AA24" s="9">
        <v>27</v>
      </c>
      <c r="AB24" s="9">
        <v>17</v>
      </c>
      <c r="AC24" s="9">
        <v>14</v>
      </c>
      <c r="AD24" s="9" t="s">
        <v>0</v>
      </c>
      <c r="AE24" s="9" t="s">
        <v>60</v>
      </c>
    </row>
    <row r="25" spans="1:31" ht="114.75" x14ac:dyDescent="0.2">
      <c r="A25" s="8" t="str">
        <f>HYPERLINK("http://www.patentics.cn/invokexml.do?sx=showpatent_cn&amp;sf=ShowPatent&amp;spn=US9143305&amp;sx=showpatent_cn&amp;sv=d89782f0a70330756693fa350099cbbe","US9143305")</f>
        <v>US9143305</v>
      </c>
      <c r="B25" s="9" t="s">
        <v>198</v>
      </c>
      <c r="C25" s="9" t="s">
        <v>199</v>
      </c>
      <c r="D25" s="9" t="s">
        <v>48</v>
      </c>
      <c r="E25" s="9" t="s">
        <v>49</v>
      </c>
      <c r="F25" s="9" t="s">
        <v>200</v>
      </c>
      <c r="G25" s="9" t="s">
        <v>86</v>
      </c>
      <c r="H25" s="9" t="s">
        <v>201</v>
      </c>
      <c r="I25" s="9" t="s">
        <v>201</v>
      </c>
      <c r="J25" s="9" t="s">
        <v>202</v>
      </c>
      <c r="K25" s="9" t="s">
        <v>40</v>
      </c>
      <c r="L25" s="9" t="s">
        <v>41</v>
      </c>
      <c r="M25" s="9">
        <v>45</v>
      </c>
      <c r="N25" s="9">
        <v>23</v>
      </c>
      <c r="O25" s="9" t="s">
        <v>57</v>
      </c>
      <c r="P25" s="9" t="s">
        <v>58</v>
      </c>
      <c r="Q25" s="9">
        <v>1140</v>
      </c>
      <c r="R25" s="9">
        <v>258</v>
      </c>
      <c r="S25" s="9">
        <v>882</v>
      </c>
      <c r="T25" s="9">
        <v>195</v>
      </c>
      <c r="U25" s="9">
        <v>1</v>
      </c>
      <c r="V25" s="9" t="s">
        <v>114</v>
      </c>
      <c r="W25" s="9">
        <v>1</v>
      </c>
      <c r="X25" s="9">
        <v>0</v>
      </c>
      <c r="Y25" s="9">
        <v>1</v>
      </c>
      <c r="Z25" s="9">
        <v>1</v>
      </c>
      <c r="AA25" s="9">
        <v>44</v>
      </c>
      <c r="AB25" s="9">
        <v>16</v>
      </c>
      <c r="AC25" s="9">
        <v>14</v>
      </c>
      <c r="AD25" s="9" t="s">
        <v>0</v>
      </c>
      <c r="AE25" s="9" t="s">
        <v>60</v>
      </c>
    </row>
    <row r="26" spans="1:31" ht="51" x14ac:dyDescent="0.2">
      <c r="A26" s="8" t="str">
        <f>HYPERLINK("http://www.patentics.cn/invokexml.do?sx=showpatent_cn&amp;sf=ShowPatent&amp;spn=US9144060&amp;sx=showpatent_cn&amp;sv=8c29e05d6d5d33684f380d7169517658","US9144060")</f>
        <v>US9144060</v>
      </c>
      <c r="B26" s="9" t="s">
        <v>203</v>
      </c>
      <c r="C26" s="9" t="s">
        <v>204</v>
      </c>
      <c r="D26" s="9" t="s">
        <v>48</v>
      </c>
      <c r="E26" s="9" t="s">
        <v>49</v>
      </c>
      <c r="F26" s="9" t="s">
        <v>205</v>
      </c>
      <c r="G26" s="9" t="s">
        <v>74</v>
      </c>
      <c r="H26" s="9" t="s">
        <v>87</v>
      </c>
      <c r="I26" s="9" t="s">
        <v>111</v>
      </c>
      <c r="J26" s="9" t="s">
        <v>202</v>
      </c>
      <c r="K26" s="9" t="s">
        <v>55</v>
      </c>
      <c r="L26" s="9" t="s">
        <v>206</v>
      </c>
      <c r="M26" s="9">
        <v>35</v>
      </c>
      <c r="N26" s="9">
        <v>21</v>
      </c>
      <c r="O26" s="9" t="s">
        <v>57</v>
      </c>
      <c r="P26" s="9" t="s">
        <v>58</v>
      </c>
      <c r="Q26" s="9">
        <v>1144</v>
      </c>
      <c r="R26" s="9">
        <v>260</v>
      </c>
      <c r="S26" s="9">
        <v>884</v>
      </c>
      <c r="T26" s="9">
        <v>197</v>
      </c>
      <c r="U26" s="9">
        <v>0</v>
      </c>
      <c r="V26" s="9" t="s">
        <v>114</v>
      </c>
      <c r="W26" s="9">
        <v>0</v>
      </c>
      <c r="X26" s="9">
        <v>0</v>
      </c>
      <c r="Y26" s="9">
        <v>0</v>
      </c>
      <c r="Z26" s="9">
        <v>0</v>
      </c>
      <c r="AA26" s="9">
        <v>52</v>
      </c>
      <c r="AB26" s="9">
        <v>18</v>
      </c>
      <c r="AC26" s="9">
        <v>14</v>
      </c>
      <c r="AD26" s="9" t="s">
        <v>0</v>
      </c>
      <c r="AE26" s="9" t="s">
        <v>60</v>
      </c>
    </row>
    <row r="27" spans="1:31" ht="51" x14ac:dyDescent="0.2">
      <c r="A27" s="8" t="str">
        <f>HYPERLINK("http://www.patentics.cn/invokexml.do?sx=showpatent_cn&amp;sf=ShowPatent&amp;spn=US9148256&amp;sx=showpatent_cn&amp;sv=33226b7393bc9b85817bbf11d164b685","US9148256")</f>
        <v>US9148256</v>
      </c>
      <c r="B27" s="9" t="s">
        <v>207</v>
      </c>
      <c r="C27" s="9" t="s">
        <v>208</v>
      </c>
      <c r="D27" s="9" t="s">
        <v>117</v>
      </c>
      <c r="E27" s="9" t="s">
        <v>49</v>
      </c>
      <c r="F27" s="9" t="s">
        <v>63</v>
      </c>
      <c r="G27" s="9" t="s">
        <v>64</v>
      </c>
      <c r="H27" s="9" t="s">
        <v>209</v>
      </c>
      <c r="I27" s="9" t="s">
        <v>209</v>
      </c>
      <c r="J27" s="9" t="s">
        <v>210</v>
      </c>
      <c r="K27" s="9" t="s">
        <v>68</v>
      </c>
      <c r="L27" s="9" t="s">
        <v>211</v>
      </c>
      <c r="M27" s="9">
        <v>28</v>
      </c>
      <c r="N27" s="9">
        <v>17</v>
      </c>
      <c r="O27" s="9" t="s">
        <v>57</v>
      </c>
      <c r="P27" s="9" t="s">
        <v>58</v>
      </c>
      <c r="Q27" s="9">
        <v>1068</v>
      </c>
      <c r="R27" s="9">
        <v>243</v>
      </c>
      <c r="S27" s="9">
        <v>825</v>
      </c>
      <c r="T27" s="9">
        <v>192</v>
      </c>
      <c r="U27" s="9">
        <v>1</v>
      </c>
      <c r="V27" s="9" t="s">
        <v>70</v>
      </c>
      <c r="W27" s="9">
        <v>0</v>
      </c>
      <c r="X27" s="9">
        <v>1</v>
      </c>
      <c r="Y27" s="9">
        <v>1</v>
      </c>
      <c r="Z27" s="9">
        <v>1</v>
      </c>
      <c r="AA27" s="9">
        <v>39</v>
      </c>
      <c r="AB27" s="9">
        <v>17</v>
      </c>
      <c r="AC27" s="9">
        <v>14</v>
      </c>
      <c r="AD27" s="9" t="s">
        <v>0</v>
      </c>
      <c r="AE27" s="9" t="s">
        <v>60</v>
      </c>
    </row>
    <row r="28" spans="1:31" ht="127.5" x14ac:dyDescent="0.2">
      <c r="A28" s="8" t="str">
        <f>HYPERLINK("http://www.patentics.cn/invokexml.do?sx=showpatent_cn&amp;sf=ShowPatent&amp;spn=US9154211&amp;sx=showpatent_cn&amp;sv=f0ffc8ad0baadd5591d9f2c408909400","US9154211")</f>
        <v>US9154211</v>
      </c>
      <c r="B28" s="9" t="s">
        <v>212</v>
      </c>
      <c r="C28" s="9" t="s">
        <v>213</v>
      </c>
      <c r="D28" s="9" t="s">
        <v>48</v>
      </c>
      <c r="E28" s="9" t="s">
        <v>49</v>
      </c>
      <c r="F28" s="9" t="s">
        <v>214</v>
      </c>
      <c r="G28" s="9" t="s">
        <v>64</v>
      </c>
      <c r="H28" s="9" t="s">
        <v>215</v>
      </c>
      <c r="I28" s="9" t="s">
        <v>216</v>
      </c>
      <c r="J28" s="9" t="s">
        <v>217</v>
      </c>
      <c r="K28" s="9" t="s">
        <v>68</v>
      </c>
      <c r="L28" s="9" t="s">
        <v>218</v>
      </c>
      <c r="M28" s="9">
        <v>79</v>
      </c>
      <c r="N28" s="9">
        <v>16</v>
      </c>
      <c r="O28" s="9" t="s">
        <v>57</v>
      </c>
      <c r="P28" s="9" t="s">
        <v>58</v>
      </c>
      <c r="Q28" s="9">
        <v>1131</v>
      </c>
      <c r="R28" s="9">
        <v>252</v>
      </c>
      <c r="S28" s="9">
        <v>879</v>
      </c>
      <c r="T28" s="9">
        <v>193</v>
      </c>
      <c r="U28" s="9">
        <v>14</v>
      </c>
      <c r="V28" s="9" t="s">
        <v>114</v>
      </c>
      <c r="W28" s="9">
        <v>0</v>
      </c>
      <c r="X28" s="9">
        <v>14</v>
      </c>
      <c r="Y28" s="9">
        <v>0</v>
      </c>
      <c r="Z28" s="9">
        <v>1</v>
      </c>
      <c r="AA28" s="9">
        <v>27</v>
      </c>
      <c r="AB28" s="9">
        <v>15</v>
      </c>
      <c r="AC28" s="9">
        <v>14</v>
      </c>
      <c r="AD28" s="9" t="s">
        <v>0</v>
      </c>
      <c r="AE28" s="9" t="s">
        <v>60</v>
      </c>
    </row>
    <row r="29" spans="1:31" ht="89.25" x14ac:dyDescent="0.2">
      <c r="A29" s="8" t="str">
        <f>HYPERLINK("http://www.patentics.cn/invokexml.do?sx=showpatent_cn&amp;sf=ShowPatent&amp;spn=US9172453&amp;sx=showpatent_cn&amp;sv=9656e7b7eb455db6f3102f6b49e88d5b","US9172453")</f>
        <v>US9172453</v>
      </c>
      <c r="B29" s="9" t="s">
        <v>219</v>
      </c>
      <c r="C29" s="9" t="s">
        <v>220</v>
      </c>
      <c r="D29" s="9" t="s">
        <v>48</v>
      </c>
      <c r="E29" s="9" t="s">
        <v>49</v>
      </c>
      <c r="F29" s="9" t="s">
        <v>221</v>
      </c>
      <c r="G29" s="9" t="s">
        <v>222</v>
      </c>
      <c r="H29" s="9" t="s">
        <v>87</v>
      </c>
      <c r="I29" s="9" t="s">
        <v>87</v>
      </c>
      <c r="J29" s="9" t="s">
        <v>223</v>
      </c>
      <c r="K29" s="9" t="s">
        <v>40</v>
      </c>
      <c r="L29" s="9" t="s">
        <v>224</v>
      </c>
      <c r="M29" s="9">
        <v>29</v>
      </c>
      <c r="N29" s="9">
        <v>7</v>
      </c>
      <c r="O29" s="9" t="s">
        <v>57</v>
      </c>
      <c r="P29" s="9" t="s">
        <v>58</v>
      </c>
      <c r="Q29" s="9">
        <v>1140</v>
      </c>
      <c r="R29" s="9">
        <v>259</v>
      </c>
      <c r="S29" s="9">
        <v>881</v>
      </c>
      <c r="T29" s="9">
        <v>197</v>
      </c>
      <c r="U29" s="9">
        <v>0</v>
      </c>
      <c r="V29" s="9" t="s">
        <v>114</v>
      </c>
      <c r="W29" s="9">
        <v>0</v>
      </c>
      <c r="X29" s="9">
        <v>0</v>
      </c>
      <c r="Y29" s="9">
        <v>0</v>
      </c>
      <c r="Z29" s="9">
        <v>0</v>
      </c>
      <c r="AA29" s="9">
        <v>20</v>
      </c>
      <c r="AB29" s="9">
        <v>15</v>
      </c>
      <c r="AC29" s="9">
        <v>14</v>
      </c>
      <c r="AD29" s="9" t="s">
        <v>0</v>
      </c>
      <c r="AE29" s="9" t="s">
        <v>60</v>
      </c>
    </row>
    <row r="30" spans="1:31" ht="140.25" x14ac:dyDescent="0.2">
      <c r="A30" s="8" t="str">
        <f>HYPERLINK("http://www.patentics.cn/invokexml.do?sx=showpatent_cn&amp;sf=ShowPatent&amp;spn=US9179319&amp;sx=showpatent_cn&amp;sv=f4706c10d1134eeb6e4bdf1ca1c83070","US9179319")</f>
        <v>US9179319</v>
      </c>
      <c r="B30" s="9" t="s">
        <v>225</v>
      </c>
      <c r="C30" s="9" t="s">
        <v>226</v>
      </c>
      <c r="D30" s="9" t="s">
        <v>48</v>
      </c>
      <c r="E30" s="9" t="s">
        <v>49</v>
      </c>
      <c r="F30" s="9" t="s">
        <v>227</v>
      </c>
      <c r="G30" s="9" t="s">
        <v>126</v>
      </c>
      <c r="H30" s="9" t="s">
        <v>101</v>
      </c>
      <c r="I30" s="9" t="s">
        <v>87</v>
      </c>
      <c r="J30" s="9" t="s">
        <v>228</v>
      </c>
      <c r="K30" s="9" t="s">
        <v>229</v>
      </c>
      <c r="L30" s="9" t="s">
        <v>230</v>
      </c>
      <c r="M30" s="9">
        <v>45</v>
      </c>
      <c r="N30" s="9">
        <v>18</v>
      </c>
      <c r="O30" s="9" t="s">
        <v>57</v>
      </c>
      <c r="P30" s="9" t="s">
        <v>58</v>
      </c>
      <c r="Q30" s="9">
        <v>1125</v>
      </c>
      <c r="R30" s="9">
        <v>250</v>
      </c>
      <c r="S30" s="9">
        <v>875</v>
      </c>
      <c r="T30" s="9">
        <v>192</v>
      </c>
      <c r="U30" s="9">
        <v>0</v>
      </c>
      <c r="V30" s="9" t="s">
        <v>114</v>
      </c>
      <c r="W30" s="9">
        <v>0</v>
      </c>
      <c r="X30" s="9">
        <v>0</v>
      </c>
      <c r="Y30" s="9">
        <v>0</v>
      </c>
      <c r="Z30" s="9">
        <v>0</v>
      </c>
      <c r="AA30" s="9">
        <v>15</v>
      </c>
      <c r="AB30" s="9">
        <v>8</v>
      </c>
      <c r="AC30" s="9">
        <v>14</v>
      </c>
      <c r="AD30" s="9" t="s">
        <v>0</v>
      </c>
      <c r="AE30" s="9" t="s">
        <v>60</v>
      </c>
    </row>
    <row r="31" spans="1:31" ht="191.25" x14ac:dyDescent="0.2">
      <c r="A31" s="8" t="str">
        <f>HYPERLINK("http://www.patentics.cn/invokexml.do?sx=showpatent_cn&amp;sf=ShowPatent&amp;spn=US9184870&amp;sx=showpatent_cn&amp;sv=db072ea5fa2f90df8418892a71e07d59","US9184870")</f>
        <v>US9184870</v>
      </c>
      <c r="B31" s="9" t="s">
        <v>231</v>
      </c>
      <c r="C31" s="9" t="s">
        <v>232</v>
      </c>
      <c r="D31" s="9" t="s">
        <v>48</v>
      </c>
      <c r="E31" s="9" t="s">
        <v>49</v>
      </c>
      <c r="F31" s="9" t="s">
        <v>233</v>
      </c>
      <c r="G31" s="9" t="s">
        <v>64</v>
      </c>
      <c r="H31" s="9" t="s">
        <v>234</v>
      </c>
      <c r="I31" s="9" t="s">
        <v>87</v>
      </c>
      <c r="J31" s="9" t="s">
        <v>235</v>
      </c>
      <c r="K31" s="9" t="s">
        <v>89</v>
      </c>
      <c r="L31" s="9" t="s">
        <v>236</v>
      </c>
      <c r="M31" s="9">
        <v>28</v>
      </c>
      <c r="N31" s="9">
        <v>18</v>
      </c>
      <c r="O31" s="9" t="s">
        <v>57</v>
      </c>
      <c r="P31" s="9" t="s">
        <v>58</v>
      </c>
      <c r="Q31" s="9">
        <v>1067</v>
      </c>
      <c r="R31" s="9">
        <v>241</v>
      </c>
      <c r="S31" s="9">
        <v>826</v>
      </c>
      <c r="T31" s="9">
        <v>189</v>
      </c>
      <c r="U31" s="9">
        <v>14</v>
      </c>
      <c r="V31" s="9" t="s">
        <v>114</v>
      </c>
      <c r="W31" s="9">
        <v>0</v>
      </c>
      <c r="X31" s="9">
        <v>14</v>
      </c>
      <c r="Y31" s="9">
        <v>0</v>
      </c>
      <c r="Z31" s="9">
        <v>1</v>
      </c>
      <c r="AA31" s="9">
        <v>32</v>
      </c>
      <c r="AB31" s="9">
        <v>19</v>
      </c>
      <c r="AC31" s="9">
        <v>14</v>
      </c>
      <c r="AD31" s="9" t="s">
        <v>0</v>
      </c>
      <c r="AE31" s="9" t="s">
        <v>60</v>
      </c>
    </row>
    <row r="32" spans="1:31" ht="38.25" x14ac:dyDescent="0.2">
      <c r="A32" s="8" t="str">
        <f>HYPERLINK("http://www.patentics.cn/invokexml.do?sx=showpatent_cn&amp;sf=ShowPatent&amp;spn=US9209956&amp;sx=showpatent_cn&amp;sv=dabc5b183710a80969c4fe5d2c6d4be8","US9209956")</f>
        <v>US9209956</v>
      </c>
      <c r="B32" s="9" t="s">
        <v>237</v>
      </c>
      <c r="C32" s="9" t="s">
        <v>238</v>
      </c>
      <c r="D32" s="9" t="s">
        <v>48</v>
      </c>
      <c r="E32" s="9" t="s">
        <v>49</v>
      </c>
      <c r="F32" s="9" t="s">
        <v>239</v>
      </c>
      <c r="G32" s="9" t="s">
        <v>86</v>
      </c>
      <c r="H32" s="9" t="s">
        <v>175</v>
      </c>
      <c r="I32" s="9" t="s">
        <v>87</v>
      </c>
      <c r="J32" s="9" t="s">
        <v>240</v>
      </c>
      <c r="K32" s="9" t="s">
        <v>40</v>
      </c>
      <c r="L32" s="9" t="s">
        <v>224</v>
      </c>
      <c r="M32" s="9">
        <v>29</v>
      </c>
      <c r="N32" s="9">
        <v>0</v>
      </c>
      <c r="O32" s="9" t="s">
        <v>57</v>
      </c>
      <c r="P32" s="9" t="s">
        <v>58</v>
      </c>
      <c r="Q32" s="9">
        <v>1134</v>
      </c>
      <c r="R32" s="9">
        <v>253</v>
      </c>
      <c r="S32" s="9">
        <v>881</v>
      </c>
      <c r="T32" s="9">
        <v>195</v>
      </c>
      <c r="U32" s="9">
        <v>0</v>
      </c>
      <c r="V32" s="9" t="s">
        <v>114</v>
      </c>
      <c r="W32" s="9">
        <v>0</v>
      </c>
      <c r="X32" s="9">
        <v>0</v>
      </c>
      <c r="Y32" s="9">
        <v>0</v>
      </c>
      <c r="Z32" s="9">
        <v>0</v>
      </c>
      <c r="AA32" s="9">
        <v>15</v>
      </c>
      <c r="AB32" s="9">
        <v>8</v>
      </c>
      <c r="AC32" s="9">
        <v>14</v>
      </c>
      <c r="AD32" s="9" t="s">
        <v>0</v>
      </c>
      <c r="AE32" s="9" t="s">
        <v>60</v>
      </c>
    </row>
    <row r="33" spans="1:31" ht="114.75" x14ac:dyDescent="0.2">
      <c r="A33" s="8" t="str">
        <f>HYPERLINK("http://www.patentics.cn/invokexml.do?sx=showpatent_cn&amp;sf=ShowPatent&amp;spn=US9210651&amp;sx=showpatent_cn&amp;sv=5a728f0f537d61e18be57753992e0c44","US9210651")</f>
        <v>US9210651</v>
      </c>
      <c r="B33" s="9" t="s">
        <v>241</v>
      </c>
      <c r="C33" s="9" t="s">
        <v>242</v>
      </c>
      <c r="D33" s="9" t="s">
        <v>48</v>
      </c>
      <c r="E33" s="9" t="s">
        <v>49</v>
      </c>
      <c r="F33" s="9" t="s">
        <v>243</v>
      </c>
      <c r="G33" s="9" t="s">
        <v>244</v>
      </c>
      <c r="H33" s="9" t="s">
        <v>87</v>
      </c>
      <c r="I33" s="9" t="s">
        <v>87</v>
      </c>
      <c r="J33" s="9" t="s">
        <v>240</v>
      </c>
      <c r="K33" s="9" t="s">
        <v>68</v>
      </c>
      <c r="L33" s="9" t="s">
        <v>245</v>
      </c>
      <c r="M33" s="9">
        <v>30</v>
      </c>
      <c r="N33" s="9">
        <v>0</v>
      </c>
      <c r="O33" s="9" t="s">
        <v>57</v>
      </c>
      <c r="P33" s="9" t="s">
        <v>58</v>
      </c>
      <c r="Q33" s="9">
        <v>1131</v>
      </c>
      <c r="R33" s="9">
        <v>254</v>
      </c>
      <c r="S33" s="9">
        <v>877</v>
      </c>
      <c r="T33" s="9">
        <v>197</v>
      </c>
      <c r="U33" s="9">
        <v>1</v>
      </c>
      <c r="V33" s="9" t="s">
        <v>114</v>
      </c>
      <c r="W33" s="9">
        <v>0</v>
      </c>
      <c r="X33" s="9">
        <v>1</v>
      </c>
      <c r="Y33" s="9">
        <v>1</v>
      </c>
      <c r="Z33" s="9">
        <v>1</v>
      </c>
      <c r="AA33" s="9">
        <v>23</v>
      </c>
      <c r="AB33" s="9">
        <v>13</v>
      </c>
      <c r="AC33" s="9">
        <v>14</v>
      </c>
      <c r="AD33" s="9" t="s">
        <v>0</v>
      </c>
      <c r="AE33" s="9" t="s">
        <v>60</v>
      </c>
    </row>
    <row r="34" spans="1:31" ht="114.75" x14ac:dyDescent="0.2">
      <c r="A34" s="8" t="str">
        <f>HYPERLINK("http://www.patentics.cn/invokexml.do?sx=showpatent_cn&amp;sf=ShowPatent&amp;spn=US9225416&amp;sx=showpatent_cn&amp;sv=7bc0a10405e6093ca4105b0da4580319","US9225416")</f>
        <v>US9225416</v>
      </c>
      <c r="B34" s="9" t="s">
        <v>246</v>
      </c>
      <c r="C34" s="9" t="s">
        <v>247</v>
      </c>
      <c r="D34" s="9" t="s">
        <v>48</v>
      </c>
      <c r="E34" s="9" t="s">
        <v>49</v>
      </c>
      <c r="F34" s="9" t="s">
        <v>248</v>
      </c>
      <c r="G34" s="9" t="s">
        <v>86</v>
      </c>
      <c r="H34" s="9" t="s">
        <v>87</v>
      </c>
      <c r="I34" s="9" t="s">
        <v>87</v>
      </c>
      <c r="J34" s="9" t="s">
        <v>249</v>
      </c>
      <c r="K34" s="9" t="s">
        <v>40</v>
      </c>
      <c r="L34" s="9" t="s">
        <v>41</v>
      </c>
      <c r="M34" s="9">
        <v>57</v>
      </c>
      <c r="N34" s="9">
        <v>10</v>
      </c>
      <c r="O34" s="9" t="s">
        <v>57</v>
      </c>
      <c r="P34" s="9" t="s">
        <v>58</v>
      </c>
      <c r="Q34" s="9">
        <v>1093</v>
      </c>
      <c r="R34" s="9">
        <v>240</v>
      </c>
      <c r="S34" s="9">
        <v>853</v>
      </c>
      <c r="T34" s="9">
        <v>194</v>
      </c>
      <c r="U34" s="9">
        <v>1</v>
      </c>
      <c r="V34" s="9" t="s">
        <v>70</v>
      </c>
      <c r="W34" s="9">
        <v>0</v>
      </c>
      <c r="X34" s="9">
        <v>1</v>
      </c>
      <c r="Y34" s="9">
        <v>1</v>
      </c>
      <c r="Z34" s="9">
        <v>1</v>
      </c>
      <c r="AA34" s="9">
        <v>25</v>
      </c>
      <c r="AB34" s="9">
        <v>15</v>
      </c>
      <c r="AC34" s="9">
        <v>14</v>
      </c>
      <c r="AD34" s="9" t="s">
        <v>0</v>
      </c>
      <c r="AE34" s="9" t="s">
        <v>60</v>
      </c>
    </row>
    <row r="35" spans="1:31" ht="127.5" x14ac:dyDescent="0.2">
      <c r="A35" s="8" t="str">
        <f>HYPERLINK("http://www.patentics.cn/invokexml.do?sx=showpatent_cn&amp;sf=ShowPatent&amp;spn=US9225488&amp;sx=showpatent_cn&amp;sv=ca12ebcb7efe460858f3ce934ba3e9a1","US9225488")</f>
        <v>US9225488</v>
      </c>
      <c r="B35" s="9" t="s">
        <v>250</v>
      </c>
      <c r="C35" s="9" t="s">
        <v>251</v>
      </c>
      <c r="D35" s="9" t="s">
        <v>48</v>
      </c>
      <c r="E35" s="9" t="s">
        <v>49</v>
      </c>
      <c r="F35" s="9" t="s">
        <v>252</v>
      </c>
      <c r="G35" s="9" t="s">
        <v>74</v>
      </c>
      <c r="H35" s="9" t="s">
        <v>87</v>
      </c>
      <c r="I35" s="9" t="s">
        <v>87</v>
      </c>
      <c r="J35" s="9" t="s">
        <v>249</v>
      </c>
      <c r="K35" s="9" t="s">
        <v>40</v>
      </c>
      <c r="L35" s="9" t="s">
        <v>224</v>
      </c>
      <c r="M35" s="9">
        <v>78</v>
      </c>
      <c r="N35" s="9">
        <v>15</v>
      </c>
      <c r="O35" s="9" t="s">
        <v>57</v>
      </c>
      <c r="P35" s="9" t="s">
        <v>58</v>
      </c>
      <c r="Q35" s="9">
        <v>1141</v>
      </c>
      <c r="R35" s="9">
        <v>261</v>
      </c>
      <c r="S35" s="9">
        <v>880</v>
      </c>
      <c r="T35" s="9">
        <v>196</v>
      </c>
      <c r="U35" s="9">
        <v>0</v>
      </c>
      <c r="V35" s="9" t="s">
        <v>114</v>
      </c>
      <c r="W35" s="9">
        <v>0</v>
      </c>
      <c r="X35" s="9">
        <v>0</v>
      </c>
      <c r="Y35" s="9">
        <v>0</v>
      </c>
      <c r="Z35" s="9">
        <v>0</v>
      </c>
      <c r="AA35" s="9">
        <v>52</v>
      </c>
      <c r="AB35" s="9">
        <v>18</v>
      </c>
      <c r="AC35" s="9">
        <v>14</v>
      </c>
      <c r="AD35" s="9" t="s">
        <v>0</v>
      </c>
      <c r="AE35" s="9" t="s">
        <v>60</v>
      </c>
    </row>
    <row r="36" spans="1:31" ht="38.25" x14ac:dyDescent="0.2">
      <c r="A36" s="8" t="str">
        <f>HYPERLINK("http://www.patentics.cn/invokexml.do?sx=showpatent_cn&amp;sf=ShowPatent&amp;spn=US9240877&amp;sx=showpatent_cn&amp;sv=0e640918b853e78c5e4c3e664547d86b","US9240877")</f>
        <v>US9240877</v>
      </c>
      <c r="B36" s="9" t="s">
        <v>253</v>
      </c>
      <c r="C36" s="9" t="s">
        <v>238</v>
      </c>
      <c r="D36" s="9" t="s">
        <v>48</v>
      </c>
      <c r="E36" s="9" t="s">
        <v>49</v>
      </c>
      <c r="F36" s="9" t="s">
        <v>254</v>
      </c>
      <c r="G36" s="9" t="s">
        <v>255</v>
      </c>
      <c r="H36" s="9" t="s">
        <v>175</v>
      </c>
      <c r="I36" s="9" t="s">
        <v>256</v>
      </c>
      <c r="J36" s="9" t="s">
        <v>257</v>
      </c>
      <c r="K36" s="9" t="s">
        <v>55</v>
      </c>
      <c r="L36" s="9" t="s">
        <v>56</v>
      </c>
      <c r="M36" s="9">
        <v>18</v>
      </c>
      <c r="N36" s="9">
        <v>31</v>
      </c>
      <c r="O36" s="9" t="s">
        <v>57</v>
      </c>
      <c r="P36" s="9" t="s">
        <v>58</v>
      </c>
      <c r="Q36" s="9">
        <v>1136</v>
      </c>
      <c r="R36" s="9">
        <v>253</v>
      </c>
      <c r="S36" s="9">
        <v>883</v>
      </c>
      <c r="T36" s="9">
        <v>198</v>
      </c>
      <c r="U36" s="9">
        <v>1</v>
      </c>
      <c r="V36" s="9" t="s">
        <v>82</v>
      </c>
      <c r="W36" s="9">
        <v>0</v>
      </c>
      <c r="X36" s="9">
        <v>1</v>
      </c>
      <c r="Y36" s="9">
        <v>1</v>
      </c>
      <c r="Z36" s="9">
        <v>1</v>
      </c>
      <c r="AA36" s="9">
        <v>15</v>
      </c>
      <c r="AB36" s="9">
        <v>8</v>
      </c>
      <c r="AC36" s="9">
        <v>14</v>
      </c>
      <c r="AD36" s="9" t="s">
        <v>0</v>
      </c>
      <c r="AE36" s="9" t="s">
        <v>60</v>
      </c>
    </row>
    <row r="37" spans="1:31" ht="114.75" x14ac:dyDescent="0.2">
      <c r="A37" s="8" t="str">
        <f>HYPERLINK("http://www.patentics.cn/invokexml.do?sx=showpatent_cn&amp;sf=ShowPatent&amp;spn=US9246560&amp;sx=showpatent_cn&amp;sv=096c93bf836482cc6653027ac3c38bbb","US9246560")</f>
        <v>US9246560</v>
      </c>
      <c r="B37" s="9" t="s">
        <v>258</v>
      </c>
      <c r="C37" s="9" t="s">
        <v>259</v>
      </c>
      <c r="D37" s="9" t="s">
        <v>48</v>
      </c>
      <c r="E37" s="9" t="s">
        <v>49</v>
      </c>
      <c r="F37" s="9" t="s">
        <v>260</v>
      </c>
      <c r="G37" s="9" t="s">
        <v>64</v>
      </c>
      <c r="H37" s="9" t="s">
        <v>261</v>
      </c>
      <c r="I37" s="9" t="s">
        <v>39</v>
      </c>
      <c r="J37" s="9" t="s">
        <v>262</v>
      </c>
      <c r="K37" s="9" t="s">
        <v>89</v>
      </c>
      <c r="L37" s="9" t="s">
        <v>263</v>
      </c>
      <c r="M37" s="9">
        <v>16</v>
      </c>
      <c r="N37" s="9">
        <v>9</v>
      </c>
      <c r="O37" s="9" t="s">
        <v>57</v>
      </c>
      <c r="P37" s="9" t="s">
        <v>58</v>
      </c>
      <c r="Q37" s="9">
        <v>1140</v>
      </c>
      <c r="R37" s="9">
        <v>254</v>
      </c>
      <c r="S37" s="9">
        <v>886</v>
      </c>
      <c r="T37" s="9">
        <v>196</v>
      </c>
      <c r="U37" s="9">
        <v>1</v>
      </c>
      <c r="V37" s="9" t="s">
        <v>264</v>
      </c>
      <c r="W37" s="9">
        <v>0</v>
      </c>
      <c r="X37" s="9">
        <v>1</v>
      </c>
      <c r="Y37" s="9">
        <v>1</v>
      </c>
      <c r="Z37" s="9">
        <v>1</v>
      </c>
      <c r="AA37" s="9">
        <v>51</v>
      </c>
      <c r="AB37" s="9">
        <v>18</v>
      </c>
      <c r="AC37" s="9">
        <v>14</v>
      </c>
      <c r="AD37" s="9" t="s">
        <v>0</v>
      </c>
      <c r="AE37" s="9" t="s">
        <v>60</v>
      </c>
    </row>
    <row r="38" spans="1:31" ht="38.25" x14ac:dyDescent="0.2">
      <c r="A38" s="8" t="str">
        <f>HYPERLINK("http://www.patentics.cn/invokexml.do?sx=showpatent_cn&amp;sf=ShowPatent&amp;spn=US9246659&amp;sx=showpatent_cn&amp;sv=551b9e765b5b465fe9c4cfd689d6c97a","US9246659")</f>
        <v>US9246659</v>
      </c>
      <c r="B38" s="9" t="s">
        <v>265</v>
      </c>
      <c r="C38" s="9" t="s">
        <v>238</v>
      </c>
      <c r="D38" s="9" t="s">
        <v>48</v>
      </c>
      <c r="E38" s="9" t="s">
        <v>49</v>
      </c>
      <c r="F38" s="9" t="s">
        <v>254</v>
      </c>
      <c r="G38" s="9" t="s">
        <v>255</v>
      </c>
      <c r="H38" s="9" t="s">
        <v>175</v>
      </c>
      <c r="I38" s="9" t="s">
        <v>256</v>
      </c>
      <c r="J38" s="9" t="s">
        <v>262</v>
      </c>
      <c r="K38" s="9" t="s">
        <v>89</v>
      </c>
      <c r="L38" s="9" t="s">
        <v>266</v>
      </c>
      <c r="M38" s="9">
        <v>28</v>
      </c>
      <c r="N38" s="9">
        <v>18</v>
      </c>
      <c r="O38" s="9" t="s">
        <v>57</v>
      </c>
      <c r="P38" s="9" t="s">
        <v>58</v>
      </c>
      <c r="Q38" s="9">
        <v>1137</v>
      </c>
      <c r="R38" s="9">
        <v>253</v>
      </c>
      <c r="S38" s="9">
        <v>884</v>
      </c>
      <c r="T38" s="9">
        <v>198</v>
      </c>
      <c r="U38" s="9">
        <v>0</v>
      </c>
      <c r="V38" s="9" t="s">
        <v>114</v>
      </c>
      <c r="W38" s="9">
        <v>0</v>
      </c>
      <c r="X38" s="9">
        <v>0</v>
      </c>
      <c r="Y38" s="9">
        <v>0</v>
      </c>
      <c r="Z38" s="9">
        <v>0</v>
      </c>
      <c r="AA38" s="9">
        <v>15</v>
      </c>
      <c r="AB38" s="9">
        <v>8</v>
      </c>
      <c r="AC38" s="9">
        <v>14</v>
      </c>
      <c r="AD38" s="9" t="s">
        <v>0</v>
      </c>
      <c r="AE38" s="9" t="s">
        <v>60</v>
      </c>
    </row>
    <row r="39" spans="1:31" ht="165.75" x14ac:dyDescent="0.2">
      <c r="A39" s="8" t="str">
        <f>HYPERLINK("http://www.patentics.cn/invokexml.do?sx=showpatent_cn&amp;sf=ShowPatent&amp;spn=US9307544&amp;sx=showpatent_cn&amp;sv=a9f0a4343a16e626aaf6d7f7e7ee6202","US9307544")</f>
        <v>US9307544</v>
      </c>
      <c r="B39" s="9" t="s">
        <v>267</v>
      </c>
      <c r="C39" s="9" t="s">
        <v>268</v>
      </c>
      <c r="D39" s="9" t="s">
        <v>48</v>
      </c>
      <c r="E39" s="9" t="s">
        <v>49</v>
      </c>
      <c r="F39" s="9" t="s">
        <v>269</v>
      </c>
      <c r="G39" s="9" t="s">
        <v>126</v>
      </c>
      <c r="H39" s="9" t="s">
        <v>170</v>
      </c>
      <c r="I39" s="9" t="s">
        <v>270</v>
      </c>
      <c r="J39" s="9" t="s">
        <v>271</v>
      </c>
      <c r="K39" s="9" t="s">
        <v>55</v>
      </c>
      <c r="L39" s="9" t="s">
        <v>272</v>
      </c>
      <c r="M39" s="9">
        <v>24</v>
      </c>
      <c r="N39" s="9">
        <v>16</v>
      </c>
      <c r="O39" s="9" t="s">
        <v>57</v>
      </c>
      <c r="P39" s="9" t="s">
        <v>58</v>
      </c>
      <c r="Q39" s="9">
        <v>1093</v>
      </c>
      <c r="R39" s="9">
        <v>269</v>
      </c>
      <c r="S39" s="9">
        <v>824</v>
      </c>
      <c r="T39" s="9">
        <v>197</v>
      </c>
      <c r="U39" s="9">
        <v>8</v>
      </c>
      <c r="V39" s="9" t="s">
        <v>114</v>
      </c>
      <c r="W39" s="9">
        <v>0</v>
      </c>
      <c r="X39" s="9">
        <v>8</v>
      </c>
      <c r="Y39" s="9">
        <v>0</v>
      </c>
      <c r="Z39" s="9">
        <v>1</v>
      </c>
      <c r="AA39" s="9">
        <v>51</v>
      </c>
      <c r="AB39" s="9">
        <v>14</v>
      </c>
      <c r="AC39" s="9">
        <v>14</v>
      </c>
      <c r="AD39" s="9" t="s">
        <v>0</v>
      </c>
      <c r="AE39" s="9" t="s">
        <v>60</v>
      </c>
    </row>
    <row r="40" spans="1:31" ht="114.75" x14ac:dyDescent="0.2">
      <c r="A40" s="8" t="str">
        <f>HYPERLINK("http://www.patentics.cn/invokexml.do?sx=showpatent_cn&amp;sf=ShowPatent&amp;spn=US9408220&amp;sx=showpatent_cn&amp;sv=e9ff43341b48dcd1967c3716ac564275","US9408220")</f>
        <v>US9408220</v>
      </c>
      <c r="B40" s="9" t="s">
        <v>273</v>
      </c>
      <c r="C40" s="9" t="s">
        <v>268</v>
      </c>
      <c r="D40" s="9" t="s">
        <v>48</v>
      </c>
      <c r="E40" s="9" t="s">
        <v>49</v>
      </c>
      <c r="F40" s="9" t="s">
        <v>274</v>
      </c>
      <c r="G40" s="9" t="s">
        <v>126</v>
      </c>
      <c r="H40" s="9" t="s">
        <v>170</v>
      </c>
      <c r="I40" s="9" t="s">
        <v>87</v>
      </c>
      <c r="J40" s="9" t="s">
        <v>275</v>
      </c>
      <c r="K40" s="9" t="s">
        <v>96</v>
      </c>
      <c r="L40" s="9" t="s">
        <v>97</v>
      </c>
      <c r="M40" s="9">
        <v>36</v>
      </c>
      <c r="N40" s="9">
        <v>12</v>
      </c>
      <c r="O40" s="9" t="s">
        <v>57</v>
      </c>
      <c r="P40" s="9" t="s">
        <v>58</v>
      </c>
      <c r="Q40" s="9">
        <v>1143</v>
      </c>
      <c r="R40" s="9">
        <v>258</v>
      </c>
      <c r="S40" s="9">
        <v>885</v>
      </c>
      <c r="T40" s="9">
        <v>197</v>
      </c>
      <c r="U40" s="9">
        <v>0</v>
      </c>
      <c r="V40" s="9" t="s">
        <v>114</v>
      </c>
      <c r="W40" s="9">
        <v>0</v>
      </c>
      <c r="X40" s="9">
        <v>0</v>
      </c>
      <c r="Y40" s="9">
        <v>0</v>
      </c>
      <c r="Z40" s="9">
        <v>0</v>
      </c>
      <c r="AA40" s="9">
        <v>51</v>
      </c>
      <c r="AB40" s="9">
        <v>14</v>
      </c>
      <c r="AC40" s="9">
        <v>14</v>
      </c>
      <c r="AD40" s="9" t="s">
        <v>0</v>
      </c>
      <c r="AE40" s="9" t="s">
        <v>60</v>
      </c>
    </row>
    <row r="41" spans="1:31" ht="76.5" x14ac:dyDescent="0.2">
      <c r="A41" s="8" t="str">
        <f>HYPERLINK("http://www.patentics.cn/invokexml.do?sx=showpatent_cn&amp;sf=ShowPatent&amp;spn=US9426012&amp;sx=showpatent_cn&amp;sv=bc455ecc6146a82fe03f62637e61358f","US9426012")</f>
        <v>US9426012</v>
      </c>
      <c r="B41" s="9" t="s">
        <v>276</v>
      </c>
      <c r="C41" s="9" t="s">
        <v>277</v>
      </c>
      <c r="D41" s="9" t="s">
        <v>48</v>
      </c>
      <c r="E41" s="9" t="s">
        <v>49</v>
      </c>
      <c r="F41" s="9" t="s">
        <v>278</v>
      </c>
      <c r="G41" s="9" t="s">
        <v>187</v>
      </c>
      <c r="H41" s="9" t="s">
        <v>188</v>
      </c>
      <c r="I41" s="9" t="s">
        <v>279</v>
      </c>
      <c r="J41" s="9" t="s">
        <v>280</v>
      </c>
      <c r="K41" s="9" t="s">
        <v>68</v>
      </c>
      <c r="L41" s="9" t="s">
        <v>281</v>
      </c>
      <c r="M41" s="9">
        <v>14</v>
      </c>
      <c r="N41" s="9">
        <v>20</v>
      </c>
      <c r="O41" s="9" t="s">
        <v>57</v>
      </c>
      <c r="P41" s="9" t="s">
        <v>58</v>
      </c>
      <c r="Q41" s="9">
        <v>1008</v>
      </c>
      <c r="R41" s="9">
        <v>197</v>
      </c>
      <c r="S41" s="9">
        <v>811</v>
      </c>
      <c r="T41" s="9">
        <v>191</v>
      </c>
      <c r="U41" s="9">
        <v>1</v>
      </c>
      <c r="V41" s="9" t="s">
        <v>114</v>
      </c>
      <c r="W41" s="9">
        <v>0</v>
      </c>
      <c r="X41" s="9">
        <v>1</v>
      </c>
      <c r="Y41" s="9">
        <v>1</v>
      </c>
      <c r="Z41" s="9">
        <v>1</v>
      </c>
      <c r="AA41" s="9">
        <v>69</v>
      </c>
      <c r="AB41" s="9">
        <v>9</v>
      </c>
      <c r="AC41" s="9">
        <v>14</v>
      </c>
      <c r="AD41" s="9" t="s">
        <v>0</v>
      </c>
      <c r="AE41" s="9" t="s">
        <v>60</v>
      </c>
    </row>
    <row r="42" spans="1:31" ht="114.75" x14ac:dyDescent="0.2">
      <c r="A42" s="8" t="str">
        <f>HYPERLINK("http://www.patentics.cn/invokexml.do?sx=showpatent_cn&amp;sf=ShowPatent&amp;spn=US9461859&amp;sx=showpatent_cn&amp;sv=027d2fad25d71f90e65c341d65dc5cdd","US9461859")</f>
        <v>US9461859</v>
      </c>
      <c r="B42" s="9" t="s">
        <v>282</v>
      </c>
      <c r="C42" s="9" t="s">
        <v>199</v>
      </c>
      <c r="D42" s="9" t="s">
        <v>48</v>
      </c>
      <c r="E42" s="9" t="s">
        <v>49</v>
      </c>
      <c r="F42" s="9" t="s">
        <v>200</v>
      </c>
      <c r="G42" s="9" t="s">
        <v>86</v>
      </c>
      <c r="H42" s="9" t="s">
        <v>87</v>
      </c>
      <c r="I42" s="9" t="s">
        <v>87</v>
      </c>
      <c r="J42" s="9" t="s">
        <v>283</v>
      </c>
      <c r="K42" s="9" t="s">
        <v>89</v>
      </c>
      <c r="L42" s="9" t="s">
        <v>266</v>
      </c>
      <c r="M42" s="9">
        <v>19</v>
      </c>
      <c r="N42" s="9">
        <v>13</v>
      </c>
      <c r="O42" s="9" t="s">
        <v>57</v>
      </c>
      <c r="P42" s="9" t="s">
        <v>58</v>
      </c>
      <c r="Q42" s="9">
        <v>1170</v>
      </c>
      <c r="R42" s="9">
        <v>259</v>
      </c>
      <c r="S42" s="9">
        <v>911</v>
      </c>
      <c r="T42" s="9">
        <v>199</v>
      </c>
      <c r="U42" s="9">
        <v>0</v>
      </c>
      <c r="V42" s="9" t="s">
        <v>114</v>
      </c>
      <c r="W42" s="9">
        <v>0</v>
      </c>
      <c r="X42" s="9">
        <v>0</v>
      </c>
      <c r="Y42" s="9">
        <v>0</v>
      </c>
      <c r="Z42" s="9">
        <v>0</v>
      </c>
      <c r="AA42" s="9">
        <v>31</v>
      </c>
      <c r="AB42" s="9">
        <v>18</v>
      </c>
      <c r="AC42" s="9">
        <v>14</v>
      </c>
      <c r="AD42" s="9" t="s">
        <v>0</v>
      </c>
      <c r="AE42" s="9" t="s">
        <v>60</v>
      </c>
    </row>
    <row r="43" spans="1:31" ht="114.75" x14ac:dyDescent="0.2">
      <c r="A43" s="8" t="str">
        <f>HYPERLINK("http://www.patentics.cn/invokexml.do?sx=showpatent_cn&amp;sf=ShowPatent&amp;spn=US9520972&amp;sx=showpatent_cn&amp;sv=7e3bad9db122bf1debe71ba2ca3526b0","US9520972")</f>
        <v>US9520972</v>
      </c>
      <c r="B43" s="9" t="s">
        <v>284</v>
      </c>
      <c r="C43" s="9" t="s">
        <v>199</v>
      </c>
      <c r="D43" s="9" t="s">
        <v>48</v>
      </c>
      <c r="E43" s="9" t="s">
        <v>49</v>
      </c>
      <c r="F43" s="9" t="s">
        <v>200</v>
      </c>
      <c r="G43" s="9" t="s">
        <v>86</v>
      </c>
      <c r="H43" s="9" t="s">
        <v>201</v>
      </c>
      <c r="I43" s="9" t="s">
        <v>201</v>
      </c>
      <c r="J43" s="9" t="s">
        <v>285</v>
      </c>
      <c r="K43" s="9" t="s">
        <v>286</v>
      </c>
      <c r="L43" s="9" t="s">
        <v>287</v>
      </c>
      <c r="M43" s="9">
        <v>29</v>
      </c>
      <c r="N43" s="9">
        <v>20</v>
      </c>
      <c r="O43" s="9" t="s">
        <v>57</v>
      </c>
      <c r="P43" s="9" t="s">
        <v>58</v>
      </c>
      <c r="Q43" s="9">
        <v>1122</v>
      </c>
      <c r="R43" s="9">
        <v>251</v>
      </c>
      <c r="S43" s="9">
        <v>871</v>
      </c>
      <c r="T43" s="9">
        <v>195</v>
      </c>
      <c r="U43" s="9">
        <v>0</v>
      </c>
      <c r="V43" s="9" t="s">
        <v>114</v>
      </c>
      <c r="W43" s="9">
        <v>0</v>
      </c>
      <c r="X43" s="9">
        <v>0</v>
      </c>
      <c r="Y43" s="9">
        <v>0</v>
      </c>
      <c r="Z43" s="9">
        <v>0</v>
      </c>
      <c r="AA43" s="9">
        <v>44</v>
      </c>
      <c r="AB43" s="9">
        <v>16</v>
      </c>
      <c r="AC43" s="9">
        <v>14</v>
      </c>
      <c r="AD43" s="9" t="s">
        <v>0</v>
      </c>
      <c r="AE43" s="9" t="s">
        <v>60</v>
      </c>
    </row>
    <row r="44" spans="1:31" ht="114.75" x14ac:dyDescent="0.2">
      <c r="A44" s="8" t="str">
        <f>HYPERLINK("http://www.patentics.cn/invokexml.do?sx=showpatent_cn&amp;sf=ShowPatent&amp;spn=US9660776&amp;sx=showpatent_cn&amp;sv=c8169a11685518c796628329ae01414f","US9660776")</f>
        <v>US9660776</v>
      </c>
      <c r="B44" s="9" t="s">
        <v>288</v>
      </c>
      <c r="C44" s="9" t="s">
        <v>289</v>
      </c>
      <c r="D44" s="9" t="s">
        <v>48</v>
      </c>
      <c r="E44" s="9" t="s">
        <v>49</v>
      </c>
      <c r="F44" s="9" t="s">
        <v>290</v>
      </c>
      <c r="G44" s="9" t="s">
        <v>291</v>
      </c>
      <c r="H44" s="9" t="s">
        <v>175</v>
      </c>
      <c r="I44" s="9" t="s">
        <v>292</v>
      </c>
      <c r="J44" s="9" t="s">
        <v>293</v>
      </c>
      <c r="K44" s="9" t="s">
        <v>89</v>
      </c>
      <c r="L44" s="9" t="s">
        <v>294</v>
      </c>
      <c r="M44" s="9">
        <v>27</v>
      </c>
      <c r="N44" s="9">
        <v>9</v>
      </c>
      <c r="O44" s="9" t="s">
        <v>57</v>
      </c>
      <c r="P44" s="9" t="s">
        <v>58</v>
      </c>
      <c r="Q44" s="9">
        <v>1129</v>
      </c>
      <c r="R44" s="9">
        <v>274</v>
      </c>
      <c r="S44" s="9">
        <v>855</v>
      </c>
      <c r="T44" s="9">
        <v>193</v>
      </c>
      <c r="U44" s="9">
        <v>0</v>
      </c>
      <c r="V44" s="9" t="s">
        <v>114</v>
      </c>
      <c r="W44" s="9">
        <v>0</v>
      </c>
      <c r="X44" s="9">
        <v>0</v>
      </c>
      <c r="Y44" s="9">
        <v>0</v>
      </c>
      <c r="Z44" s="9">
        <v>0</v>
      </c>
      <c r="AA44" s="9">
        <v>53</v>
      </c>
      <c r="AB44" s="9">
        <v>17</v>
      </c>
      <c r="AC44" s="9">
        <v>14</v>
      </c>
      <c r="AD44" s="9" t="s">
        <v>0</v>
      </c>
      <c r="AE44" s="9" t="s">
        <v>60</v>
      </c>
    </row>
    <row r="45" spans="1:31" ht="76.5" x14ac:dyDescent="0.2">
      <c r="A45" s="8" t="str">
        <f>HYPERLINK("http://www.patentics.cn/invokexml.do?sx=showpatent_cn&amp;sf=ShowPatent&amp;spn=US9693339&amp;sx=showpatent_cn&amp;sv=d4ed079a1eb169e7db2f0e466dc0bb64","US9693339")</f>
        <v>US9693339</v>
      </c>
      <c r="B45" s="9" t="s">
        <v>295</v>
      </c>
      <c r="C45" s="9" t="s">
        <v>162</v>
      </c>
      <c r="D45" s="9" t="s">
        <v>48</v>
      </c>
      <c r="E45" s="9" t="s">
        <v>49</v>
      </c>
      <c r="F45" s="9" t="s">
        <v>296</v>
      </c>
      <c r="G45" s="9" t="s">
        <v>164</v>
      </c>
      <c r="H45" s="9" t="s">
        <v>165</v>
      </c>
      <c r="I45" s="9" t="s">
        <v>297</v>
      </c>
      <c r="J45" s="9" t="s">
        <v>298</v>
      </c>
      <c r="K45" s="9" t="s">
        <v>55</v>
      </c>
      <c r="L45" s="9" t="s">
        <v>206</v>
      </c>
      <c r="M45" s="9">
        <v>20</v>
      </c>
      <c r="N45" s="9">
        <v>14</v>
      </c>
      <c r="O45" s="9" t="s">
        <v>57</v>
      </c>
      <c r="P45" s="9" t="s">
        <v>58</v>
      </c>
      <c r="Q45" s="9">
        <v>1082</v>
      </c>
      <c r="R45" s="9">
        <v>278</v>
      </c>
      <c r="S45" s="9">
        <v>804</v>
      </c>
      <c r="T45" s="9">
        <v>194</v>
      </c>
      <c r="U45" s="9">
        <v>0</v>
      </c>
      <c r="V45" s="9" t="s">
        <v>114</v>
      </c>
      <c r="W45" s="9">
        <v>0</v>
      </c>
      <c r="X45" s="9">
        <v>0</v>
      </c>
      <c r="Y45" s="9">
        <v>0</v>
      </c>
      <c r="Z45" s="9">
        <v>0</v>
      </c>
      <c r="AA45" s="9">
        <v>19</v>
      </c>
      <c r="AB45" s="9">
        <v>10</v>
      </c>
      <c r="AC45" s="9">
        <v>14</v>
      </c>
      <c r="AD45" s="9" t="s">
        <v>0</v>
      </c>
      <c r="AE45" s="9" t="s">
        <v>60</v>
      </c>
    </row>
    <row r="46" spans="1:31" ht="38.25" x14ac:dyDescent="0.2">
      <c r="A46" s="8" t="str">
        <f>HYPERLINK("http://www.patentics.cn/invokexml.do?sx=showpatent_cn&amp;sf=ShowPatent&amp;spn=CN101292460B&amp;sx=showpatent_cn&amp;sv=75df554d56c3aa83ad6c05ff1894f3e5","CN101292460B")</f>
        <v>CN101292460B</v>
      </c>
      <c r="B46" s="9" t="s">
        <v>299</v>
      </c>
      <c r="C46" s="9" t="s">
        <v>300</v>
      </c>
      <c r="D46" s="9" t="s">
        <v>301</v>
      </c>
      <c r="E46" s="9" t="s">
        <v>301</v>
      </c>
      <c r="F46" s="9" t="s">
        <v>302</v>
      </c>
      <c r="G46" s="9" t="s">
        <v>303</v>
      </c>
      <c r="H46" s="9" t="s">
        <v>175</v>
      </c>
      <c r="I46" s="9" t="s">
        <v>304</v>
      </c>
      <c r="J46" s="9" t="s">
        <v>305</v>
      </c>
      <c r="K46" s="9" t="s">
        <v>68</v>
      </c>
      <c r="L46" s="9" t="s">
        <v>306</v>
      </c>
      <c r="M46" s="9">
        <v>36</v>
      </c>
      <c r="N46" s="9">
        <v>23</v>
      </c>
      <c r="O46" s="9" t="s">
        <v>57</v>
      </c>
      <c r="P46" s="9" t="s">
        <v>58</v>
      </c>
      <c r="Q46" s="9">
        <v>2</v>
      </c>
      <c r="R46" s="9">
        <v>0</v>
      </c>
      <c r="S46" s="9">
        <v>2</v>
      </c>
      <c r="T46" s="9">
        <v>2</v>
      </c>
      <c r="U46" s="9">
        <v>0</v>
      </c>
      <c r="V46" s="9" t="s">
        <v>114</v>
      </c>
      <c r="W46" s="9">
        <v>0</v>
      </c>
      <c r="X46" s="9">
        <v>0</v>
      </c>
      <c r="Y46" s="9">
        <v>0</v>
      </c>
      <c r="Z46" s="9">
        <v>0</v>
      </c>
      <c r="AA46" s="9">
        <v>15</v>
      </c>
      <c r="AB46" s="9">
        <v>8</v>
      </c>
      <c r="AC46" s="9">
        <v>14</v>
      </c>
      <c r="AD46" s="9" t="s">
        <v>0</v>
      </c>
      <c r="AE46" s="9" t="s">
        <v>60</v>
      </c>
    </row>
    <row r="47" spans="1:31" ht="38.25" x14ac:dyDescent="0.2">
      <c r="A47" s="6" t="str">
        <f>HYPERLINK("http://www.patentics.cn/invokexml.do?sx=showpatent_cn&amp;sf=ShowPatent&amp;spn=CN1642335&amp;sx=showpatent_cn&amp;sv=18f7c6f0b805ad826790740ba20d6666","CN1642335")</f>
        <v>CN1642335</v>
      </c>
      <c r="B47" s="7" t="s">
        <v>307</v>
      </c>
      <c r="C47" s="7" t="s">
        <v>308</v>
      </c>
      <c r="D47" s="7" t="s">
        <v>309</v>
      </c>
      <c r="E47" s="7" t="s">
        <v>309</v>
      </c>
      <c r="F47" s="7" t="s">
        <v>310</v>
      </c>
      <c r="G47" s="7" t="s">
        <v>311</v>
      </c>
      <c r="H47" s="7" t="s">
        <v>0</v>
      </c>
      <c r="I47" s="7" t="s">
        <v>312</v>
      </c>
      <c r="J47" s="7" t="s">
        <v>39</v>
      </c>
      <c r="K47" s="7" t="s">
        <v>96</v>
      </c>
      <c r="L47" s="7" t="s">
        <v>313</v>
      </c>
      <c r="M47" s="7">
        <v>3</v>
      </c>
      <c r="N47" s="7">
        <v>21</v>
      </c>
      <c r="O47" s="7" t="s">
        <v>42</v>
      </c>
      <c r="P47" s="7" t="s">
        <v>43</v>
      </c>
      <c r="Q47" s="7">
        <v>0</v>
      </c>
      <c r="R47" s="7">
        <v>0</v>
      </c>
      <c r="S47" s="7">
        <v>0</v>
      </c>
      <c r="T47" s="7">
        <v>0</v>
      </c>
      <c r="U47" s="7">
        <v>36</v>
      </c>
      <c r="V47" s="7" t="s">
        <v>314</v>
      </c>
      <c r="W47" s="7">
        <v>0</v>
      </c>
      <c r="X47" s="7">
        <v>36</v>
      </c>
      <c r="Y47" s="7">
        <v>3</v>
      </c>
      <c r="Z47" s="7">
        <v>2</v>
      </c>
      <c r="AA47" s="7">
        <v>0</v>
      </c>
      <c r="AB47" s="7">
        <v>0</v>
      </c>
      <c r="AC47" s="7" t="s">
        <v>0</v>
      </c>
      <c r="AD47" s="7">
        <v>34</v>
      </c>
      <c r="AE47" s="7" t="s">
        <v>45</v>
      </c>
    </row>
    <row r="48" spans="1:31" ht="127.5" x14ac:dyDescent="0.2">
      <c r="A48" s="8" t="str">
        <f>HYPERLINK("http://www.patentics.cn/invokexml.do?sx=showpatent_cn&amp;sf=ShowPatent&amp;spn=US8693405&amp;sx=showpatent_cn&amp;sv=8b5c3d75111bd8f5b25299604862ac94","US8693405")</f>
        <v>US8693405</v>
      </c>
      <c r="B48" s="9" t="s">
        <v>132</v>
      </c>
      <c r="C48" s="9" t="s">
        <v>133</v>
      </c>
      <c r="D48" s="9" t="s">
        <v>48</v>
      </c>
      <c r="E48" s="9" t="s">
        <v>49</v>
      </c>
      <c r="F48" s="9" t="s">
        <v>134</v>
      </c>
      <c r="G48" s="9" t="s">
        <v>51</v>
      </c>
      <c r="H48" s="9" t="s">
        <v>87</v>
      </c>
      <c r="I48" s="9" t="s">
        <v>87</v>
      </c>
      <c r="J48" s="9" t="s">
        <v>135</v>
      </c>
      <c r="K48" s="9" t="s">
        <v>89</v>
      </c>
      <c r="L48" s="9" t="s">
        <v>136</v>
      </c>
      <c r="M48" s="9">
        <v>33</v>
      </c>
      <c r="N48" s="9">
        <v>15</v>
      </c>
      <c r="O48" s="9" t="s">
        <v>57</v>
      </c>
      <c r="P48" s="9" t="s">
        <v>58</v>
      </c>
      <c r="Q48" s="9">
        <v>1080</v>
      </c>
      <c r="R48" s="9">
        <v>243</v>
      </c>
      <c r="S48" s="9">
        <v>837</v>
      </c>
      <c r="T48" s="9">
        <v>192</v>
      </c>
      <c r="U48" s="9">
        <v>11</v>
      </c>
      <c r="V48" s="9" t="s">
        <v>137</v>
      </c>
      <c r="W48" s="9">
        <v>11</v>
      </c>
      <c r="X48" s="9">
        <v>0</v>
      </c>
      <c r="Y48" s="9">
        <v>1</v>
      </c>
      <c r="Z48" s="9">
        <v>1</v>
      </c>
      <c r="AA48" s="9">
        <v>23</v>
      </c>
      <c r="AB48" s="9">
        <v>16</v>
      </c>
      <c r="AC48" s="9">
        <v>14</v>
      </c>
      <c r="AD48" s="9" t="s">
        <v>0</v>
      </c>
      <c r="AE48" s="9" t="s">
        <v>60</v>
      </c>
    </row>
    <row r="49" spans="1:31" ht="76.5" x14ac:dyDescent="0.2">
      <c r="A49" s="8" t="str">
        <f>HYPERLINK("http://www.patentics.cn/invokexml.do?sx=showpatent_cn&amp;sf=ShowPatent&amp;spn=US8787347&amp;sx=showpatent_cn&amp;sv=cdcc20da7e84f36c16a7e128e6f111e6","US8787347")</f>
        <v>US8787347</v>
      </c>
      <c r="B49" s="9" t="s">
        <v>138</v>
      </c>
      <c r="C49" s="9" t="s">
        <v>116</v>
      </c>
      <c r="D49" s="9" t="s">
        <v>117</v>
      </c>
      <c r="E49" s="9" t="s">
        <v>49</v>
      </c>
      <c r="F49" s="9" t="s">
        <v>139</v>
      </c>
      <c r="G49" s="9" t="s">
        <v>86</v>
      </c>
      <c r="H49" s="9" t="s">
        <v>119</v>
      </c>
      <c r="I49" s="9" t="s">
        <v>140</v>
      </c>
      <c r="J49" s="9" t="s">
        <v>141</v>
      </c>
      <c r="K49" s="9" t="s">
        <v>40</v>
      </c>
      <c r="L49" s="9" t="s">
        <v>121</v>
      </c>
      <c r="M49" s="9">
        <v>17</v>
      </c>
      <c r="N49" s="9">
        <v>10</v>
      </c>
      <c r="O49" s="9" t="s">
        <v>57</v>
      </c>
      <c r="P49" s="9" t="s">
        <v>58</v>
      </c>
      <c r="Q49" s="9">
        <v>1096</v>
      </c>
      <c r="R49" s="9">
        <v>248</v>
      </c>
      <c r="S49" s="9">
        <v>848</v>
      </c>
      <c r="T49" s="9">
        <v>192</v>
      </c>
      <c r="U49" s="9">
        <v>5</v>
      </c>
      <c r="V49" s="9" t="s">
        <v>142</v>
      </c>
      <c r="W49" s="9">
        <v>2</v>
      </c>
      <c r="X49" s="9">
        <v>3</v>
      </c>
      <c r="Y49" s="9">
        <v>2</v>
      </c>
      <c r="Z49" s="9">
        <v>1</v>
      </c>
      <c r="AA49" s="9">
        <v>44</v>
      </c>
      <c r="AB49" s="9">
        <v>19</v>
      </c>
      <c r="AC49" s="9">
        <v>14</v>
      </c>
      <c r="AD49" s="9" t="s">
        <v>0</v>
      </c>
      <c r="AE49" s="9" t="s">
        <v>60</v>
      </c>
    </row>
    <row r="50" spans="1:31" ht="89.25" x14ac:dyDescent="0.2">
      <c r="A50" s="8" t="str">
        <f>HYPERLINK("http://www.patentics.cn/invokexml.do?sx=showpatent_cn&amp;sf=ShowPatent&amp;spn=US8831607&amp;sx=showpatent_cn&amp;sv=3754fa9e476c82a08c431f459ee28ae9","US8831607")</f>
        <v>US8831607</v>
      </c>
      <c r="B50" s="9" t="s">
        <v>143</v>
      </c>
      <c r="C50" s="9" t="s">
        <v>144</v>
      </c>
      <c r="D50" s="9" t="s">
        <v>48</v>
      </c>
      <c r="E50" s="9" t="s">
        <v>49</v>
      </c>
      <c r="F50" s="9" t="s">
        <v>145</v>
      </c>
      <c r="G50" s="9" t="s">
        <v>146</v>
      </c>
      <c r="H50" s="9" t="s">
        <v>147</v>
      </c>
      <c r="I50" s="9" t="s">
        <v>148</v>
      </c>
      <c r="J50" s="9" t="s">
        <v>149</v>
      </c>
      <c r="K50" s="9" t="s">
        <v>55</v>
      </c>
      <c r="L50" s="9" t="s">
        <v>150</v>
      </c>
      <c r="M50" s="9">
        <v>24</v>
      </c>
      <c r="N50" s="9">
        <v>20</v>
      </c>
      <c r="O50" s="9" t="s">
        <v>57</v>
      </c>
      <c r="P50" s="9" t="s">
        <v>58</v>
      </c>
      <c r="Q50" s="9">
        <v>607</v>
      </c>
      <c r="R50" s="9">
        <v>151</v>
      </c>
      <c r="S50" s="9">
        <v>456</v>
      </c>
      <c r="T50" s="9">
        <v>133</v>
      </c>
      <c r="U50" s="9">
        <v>1</v>
      </c>
      <c r="V50" s="9" t="s">
        <v>114</v>
      </c>
      <c r="W50" s="9">
        <v>1</v>
      </c>
      <c r="X50" s="9">
        <v>0</v>
      </c>
      <c r="Y50" s="9">
        <v>1</v>
      </c>
      <c r="Z50" s="9">
        <v>1</v>
      </c>
      <c r="AA50" s="9">
        <v>10</v>
      </c>
      <c r="AB50" s="9">
        <v>7</v>
      </c>
      <c r="AC50" s="9">
        <v>14</v>
      </c>
      <c r="AD50" s="9" t="s">
        <v>0</v>
      </c>
      <c r="AE50" s="9" t="s">
        <v>60</v>
      </c>
    </row>
    <row r="51" spans="1:31" ht="178.5" x14ac:dyDescent="0.2">
      <c r="A51" s="8" t="str">
        <f>HYPERLINK("http://www.patentics.cn/invokexml.do?sx=showpatent_cn&amp;sf=ShowPatent&amp;spn=US8842619&amp;sx=showpatent_cn&amp;sv=e195cd3bb857a649579b3da6d240d34c","US8842619")</f>
        <v>US8842619</v>
      </c>
      <c r="B51" s="9" t="s">
        <v>151</v>
      </c>
      <c r="C51" s="9" t="s">
        <v>93</v>
      </c>
      <c r="D51" s="9" t="s">
        <v>48</v>
      </c>
      <c r="E51" s="9" t="s">
        <v>49</v>
      </c>
      <c r="F51" s="9" t="s">
        <v>152</v>
      </c>
      <c r="G51" s="9" t="s">
        <v>153</v>
      </c>
      <c r="H51" s="9" t="s">
        <v>87</v>
      </c>
      <c r="I51" s="9" t="s">
        <v>154</v>
      </c>
      <c r="J51" s="9" t="s">
        <v>155</v>
      </c>
      <c r="K51" s="9" t="s">
        <v>96</v>
      </c>
      <c r="L51" s="9" t="s">
        <v>97</v>
      </c>
      <c r="M51" s="9">
        <v>20</v>
      </c>
      <c r="N51" s="9">
        <v>9</v>
      </c>
      <c r="O51" s="9" t="s">
        <v>57</v>
      </c>
      <c r="P51" s="9" t="s">
        <v>58</v>
      </c>
      <c r="Q51" s="9">
        <v>1020</v>
      </c>
      <c r="R51" s="9">
        <v>227</v>
      </c>
      <c r="S51" s="9">
        <v>793</v>
      </c>
      <c r="T51" s="9">
        <v>188</v>
      </c>
      <c r="U51" s="9">
        <v>15</v>
      </c>
      <c r="V51" s="9" t="s">
        <v>114</v>
      </c>
      <c r="W51" s="9">
        <v>1</v>
      </c>
      <c r="X51" s="9">
        <v>14</v>
      </c>
      <c r="Y51" s="9">
        <v>1</v>
      </c>
      <c r="Z51" s="9">
        <v>2</v>
      </c>
      <c r="AA51" s="9">
        <v>14</v>
      </c>
      <c r="AB51" s="9">
        <v>6</v>
      </c>
      <c r="AC51" s="9">
        <v>14</v>
      </c>
      <c r="AD51" s="9" t="s">
        <v>0</v>
      </c>
      <c r="AE51" s="9" t="s">
        <v>60</v>
      </c>
    </row>
    <row r="52" spans="1:31" ht="63.75" x14ac:dyDescent="0.2">
      <c r="A52" s="8" t="str">
        <f>HYPERLINK("http://www.patentics.cn/invokexml.do?sx=showpatent_cn&amp;sf=ShowPatent&amp;spn=US8885628&amp;sx=showpatent_cn&amp;sv=5985a359ffb87da69a12538fbd860fdc","US8885628")</f>
        <v>US8885628</v>
      </c>
      <c r="B52" s="9" t="s">
        <v>161</v>
      </c>
      <c r="C52" s="9" t="s">
        <v>162</v>
      </c>
      <c r="D52" s="9" t="s">
        <v>48</v>
      </c>
      <c r="E52" s="9" t="s">
        <v>49</v>
      </c>
      <c r="F52" s="9" t="s">
        <v>163</v>
      </c>
      <c r="G52" s="9" t="s">
        <v>164</v>
      </c>
      <c r="H52" s="9" t="s">
        <v>165</v>
      </c>
      <c r="I52" s="9" t="s">
        <v>166</v>
      </c>
      <c r="J52" s="9" t="s">
        <v>167</v>
      </c>
      <c r="K52" s="9" t="s">
        <v>89</v>
      </c>
      <c r="L52" s="9" t="s">
        <v>90</v>
      </c>
      <c r="M52" s="9">
        <v>62</v>
      </c>
      <c r="N52" s="9">
        <v>14</v>
      </c>
      <c r="O52" s="9" t="s">
        <v>57</v>
      </c>
      <c r="P52" s="9" t="s">
        <v>58</v>
      </c>
      <c r="Q52" s="9">
        <v>1120</v>
      </c>
      <c r="R52" s="9">
        <v>258</v>
      </c>
      <c r="S52" s="9">
        <v>862</v>
      </c>
      <c r="T52" s="9">
        <v>193</v>
      </c>
      <c r="U52" s="9">
        <v>19</v>
      </c>
      <c r="V52" s="9" t="s">
        <v>137</v>
      </c>
      <c r="W52" s="9">
        <v>5</v>
      </c>
      <c r="X52" s="9">
        <v>14</v>
      </c>
      <c r="Y52" s="9">
        <v>3</v>
      </c>
      <c r="Z52" s="9">
        <v>1</v>
      </c>
      <c r="AA52" s="9">
        <v>19</v>
      </c>
      <c r="AB52" s="9">
        <v>10</v>
      </c>
      <c r="AC52" s="9">
        <v>14</v>
      </c>
      <c r="AD52" s="9" t="s">
        <v>0</v>
      </c>
      <c r="AE52" s="9" t="s">
        <v>60</v>
      </c>
    </row>
    <row r="53" spans="1:31" ht="25.5" x14ac:dyDescent="0.2">
      <c r="A53" s="8" t="str">
        <f>HYPERLINK("http://www.patentics.cn/invokexml.do?sx=showpatent_cn&amp;sf=ShowPatent&amp;spn=US8917654&amp;sx=showpatent_cn&amp;sv=7d1841ae8f032b71f7445e2881e97c6e","US8917654")</f>
        <v>US8917654</v>
      </c>
      <c r="B53" s="9" t="s">
        <v>168</v>
      </c>
      <c r="C53" s="9" t="s">
        <v>169</v>
      </c>
      <c r="D53" s="9" t="s">
        <v>48</v>
      </c>
      <c r="E53" s="9" t="s">
        <v>49</v>
      </c>
      <c r="F53" s="9" t="s">
        <v>164</v>
      </c>
      <c r="G53" s="9" t="s">
        <v>164</v>
      </c>
      <c r="H53" s="9" t="s">
        <v>170</v>
      </c>
      <c r="I53" s="9" t="s">
        <v>171</v>
      </c>
      <c r="J53" s="9" t="s">
        <v>172</v>
      </c>
      <c r="K53" s="9" t="s">
        <v>89</v>
      </c>
      <c r="L53" s="9" t="s">
        <v>173</v>
      </c>
      <c r="M53" s="9">
        <v>70</v>
      </c>
      <c r="N53" s="9">
        <v>11</v>
      </c>
      <c r="O53" s="9" t="s">
        <v>57</v>
      </c>
      <c r="P53" s="9" t="s">
        <v>58</v>
      </c>
      <c r="Q53" s="9">
        <v>1152</v>
      </c>
      <c r="R53" s="9">
        <v>263</v>
      </c>
      <c r="S53" s="9">
        <v>889</v>
      </c>
      <c r="T53" s="9">
        <v>196</v>
      </c>
      <c r="U53" s="9">
        <v>9</v>
      </c>
      <c r="V53" s="9" t="s">
        <v>114</v>
      </c>
      <c r="W53" s="9">
        <v>1</v>
      </c>
      <c r="X53" s="9">
        <v>8</v>
      </c>
      <c r="Y53" s="9">
        <v>1</v>
      </c>
      <c r="Z53" s="9">
        <v>2</v>
      </c>
      <c r="AA53" s="9">
        <v>51</v>
      </c>
      <c r="AB53" s="9">
        <v>14</v>
      </c>
      <c r="AC53" s="9">
        <v>14</v>
      </c>
      <c r="AD53" s="9" t="s">
        <v>0</v>
      </c>
      <c r="AE53" s="9" t="s">
        <v>60</v>
      </c>
    </row>
    <row r="54" spans="1:31" ht="25.5" x14ac:dyDescent="0.2">
      <c r="A54" s="8" t="str">
        <f>HYPERLINK("http://www.patentics.cn/invokexml.do?sx=showpatent_cn&amp;sf=ShowPatent&amp;spn=US9036538&amp;sx=showpatent_cn&amp;sv=584cfa081eca28461e2cb239578d29fc","US9036538")</f>
        <v>US9036538</v>
      </c>
      <c r="B54" s="9" t="s">
        <v>174</v>
      </c>
      <c r="C54" s="9" t="s">
        <v>169</v>
      </c>
      <c r="D54" s="9" t="s">
        <v>48</v>
      </c>
      <c r="E54" s="9" t="s">
        <v>49</v>
      </c>
      <c r="F54" s="9" t="s">
        <v>164</v>
      </c>
      <c r="G54" s="9" t="s">
        <v>164</v>
      </c>
      <c r="H54" s="9" t="s">
        <v>170</v>
      </c>
      <c r="I54" s="9" t="s">
        <v>175</v>
      </c>
      <c r="J54" s="9" t="s">
        <v>176</v>
      </c>
      <c r="K54" s="9" t="s">
        <v>55</v>
      </c>
      <c r="L54" s="9" t="s">
        <v>56</v>
      </c>
      <c r="M54" s="9">
        <v>82</v>
      </c>
      <c r="N54" s="9">
        <v>14</v>
      </c>
      <c r="O54" s="9" t="s">
        <v>57</v>
      </c>
      <c r="P54" s="9" t="s">
        <v>58</v>
      </c>
      <c r="Q54" s="9">
        <v>1155</v>
      </c>
      <c r="R54" s="9">
        <v>247</v>
      </c>
      <c r="S54" s="9">
        <v>908</v>
      </c>
      <c r="T54" s="9">
        <v>198</v>
      </c>
      <c r="U54" s="9">
        <v>0</v>
      </c>
      <c r="V54" s="9" t="s">
        <v>114</v>
      </c>
      <c r="W54" s="9">
        <v>0</v>
      </c>
      <c r="X54" s="9">
        <v>0</v>
      </c>
      <c r="Y54" s="9">
        <v>0</v>
      </c>
      <c r="Z54" s="9">
        <v>0</v>
      </c>
      <c r="AA54" s="9">
        <v>51</v>
      </c>
      <c r="AB54" s="9">
        <v>14</v>
      </c>
      <c r="AC54" s="9">
        <v>14</v>
      </c>
      <c r="AD54" s="9" t="s">
        <v>0</v>
      </c>
      <c r="AE54" s="9" t="s">
        <v>60</v>
      </c>
    </row>
    <row r="55" spans="1:31" ht="89.25" x14ac:dyDescent="0.2">
      <c r="A55" s="8" t="str">
        <f>HYPERLINK("http://www.patentics.cn/invokexml.do?sx=showpatent_cn&amp;sf=ShowPatent&amp;spn=US9088384&amp;sx=showpatent_cn&amp;sv=f814b4d46fa71de4928fd3a196b86a37","US9088384")</f>
        <v>US9088384</v>
      </c>
      <c r="B55" s="9" t="s">
        <v>177</v>
      </c>
      <c r="C55" s="9" t="s">
        <v>178</v>
      </c>
      <c r="D55" s="9" t="s">
        <v>48</v>
      </c>
      <c r="E55" s="9" t="s">
        <v>49</v>
      </c>
      <c r="F55" s="9" t="s">
        <v>179</v>
      </c>
      <c r="G55" s="9" t="s">
        <v>74</v>
      </c>
      <c r="H55" s="9" t="s">
        <v>87</v>
      </c>
      <c r="I55" s="9" t="s">
        <v>180</v>
      </c>
      <c r="J55" s="9" t="s">
        <v>181</v>
      </c>
      <c r="K55" s="9" t="s">
        <v>182</v>
      </c>
      <c r="L55" s="9" t="s">
        <v>183</v>
      </c>
      <c r="M55" s="9">
        <v>29</v>
      </c>
      <c r="N55" s="9">
        <v>9</v>
      </c>
      <c r="O55" s="9" t="s">
        <v>57</v>
      </c>
      <c r="P55" s="9" t="s">
        <v>58</v>
      </c>
      <c r="Q55" s="9">
        <v>1131</v>
      </c>
      <c r="R55" s="9">
        <v>254</v>
      </c>
      <c r="S55" s="9">
        <v>877</v>
      </c>
      <c r="T55" s="9">
        <v>194</v>
      </c>
      <c r="U55" s="9">
        <v>0</v>
      </c>
      <c r="V55" s="9" t="s">
        <v>114</v>
      </c>
      <c r="W55" s="9">
        <v>0</v>
      </c>
      <c r="X55" s="9">
        <v>0</v>
      </c>
      <c r="Y55" s="9">
        <v>0</v>
      </c>
      <c r="Z55" s="9">
        <v>0</v>
      </c>
      <c r="AA55" s="9">
        <v>23</v>
      </c>
      <c r="AB55" s="9">
        <v>15</v>
      </c>
      <c r="AC55" s="9">
        <v>14</v>
      </c>
      <c r="AD55" s="9" t="s">
        <v>0</v>
      </c>
      <c r="AE55" s="9" t="s">
        <v>60</v>
      </c>
    </row>
    <row r="56" spans="1:31" ht="38.25" x14ac:dyDescent="0.2">
      <c r="A56" s="8" t="str">
        <f>HYPERLINK("http://www.patentics.cn/invokexml.do?sx=showpatent_cn&amp;sf=ShowPatent&amp;spn=US9130810&amp;sx=showpatent_cn&amp;sv=d15d0cabbe1ef48d97312fc9147eb1e3","US9130810")</f>
        <v>US9130810</v>
      </c>
      <c r="B56" s="9" t="s">
        <v>184</v>
      </c>
      <c r="C56" s="9" t="s">
        <v>185</v>
      </c>
      <c r="D56" s="9" t="s">
        <v>48</v>
      </c>
      <c r="E56" s="9" t="s">
        <v>49</v>
      </c>
      <c r="F56" s="9" t="s">
        <v>186</v>
      </c>
      <c r="G56" s="9" t="s">
        <v>187</v>
      </c>
      <c r="H56" s="9" t="s">
        <v>188</v>
      </c>
      <c r="I56" s="9" t="s">
        <v>189</v>
      </c>
      <c r="J56" s="9" t="s">
        <v>190</v>
      </c>
      <c r="K56" s="9" t="s">
        <v>40</v>
      </c>
      <c r="L56" s="9" t="s">
        <v>41</v>
      </c>
      <c r="M56" s="9">
        <v>48</v>
      </c>
      <c r="N56" s="9">
        <v>15</v>
      </c>
      <c r="O56" s="9" t="s">
        <v>57</v>
      </c>
      <c r="P56" s="9" t="s">
        <v>58</v>
      </c>
      <c r="Q56" s="9">
        <v>1129</v>
      </c>
      <c r="R56" s="9">
        <v>244</v>
      </c>
      <c r="S56" s="9">
        <v>885</v>
      </c>
      <c r="T56" s="9">
        <v>196</v>
      </c>
      <c r="U56" s="9">
        <v>3</v>
      </c>
      <c r="V56" s="9" t="s">
        <v>114</v>
      </c>
      <c r="W56" s="9">
        <v>0</v>
      </c>
      <c r="X56" s="9">
        <v>3</v>
      </c>
      <c r="Y56" s="9">
        <v>1</v>
      </c>
      <c r="Z56" s="9">
        <v>1</v>
      </c>
      <c r="AA56" s="9">
        <v>69</v>
      </c>
      <c r="AB56" s="9">
        <v>9</v>
      </c>
      <c r="AC56" s="9">
        <v>14</v>
      </c>
      <c r="AD56" s="9" t="s">
        <v>0</v>
      </c>
      <c r="AE56" s="9" t="s">
        <v>60</v>
      </c>
    </row>
    <row r="57" spans="1:31" ht="127.5" x14ac:dyDescent="0.2">
      <c r="A57" s="8" t="str">
        <f>HYPERLINK("http://www.patentics.cn/invokexml.do?sx=showpatent_cn&amp;sf=ShowPatent&amp;spn=US9136974&amp;sx=showpatent_cn&amp;sv=85eb001ad3635f01ed7bd665eb6d8061","US9136974")</f>
        <v>US9136974</v>
      </c>
      <c r="B57" s="9" t="s">
        <v>191</v>
      </c>
      <c r="C57" s="9" t="s">
        <v>192</v>
      </c>
      <c r="D57" s="9" t="s">
        <v>117</v>
      </c>
      <c r="E57" s="9" t="s">
        <v>49</v>
      </c>
      <c r="F57" s="9" t="s">
        <v>193</v>
      </c>
      <c r="G57" s="9" t="s">
        <v>86</v>
      </c>
      <c r="H57" s="9" t="s">
        <v>194</v>
      </c>
      <c r="I57" s="9" t="s">
        <v>195</v>
      </c>
      <c r="J57" s="9" t="s">
        <v>196</v>
      </c>
      <c r="K57" s="9" t="s">
        <v>55</v>
      </c>
      <c r="L57" s="9" t="s">
        <v>197</v>
      </c>
      <c r="M57" s="9">
        <v>28</v>
      </c>
      <c r="N57" s="9">
        <v>12</v>
      </c>
      <c r="O57" s="9" t="s">
        <v>57</v>
      </c>
      <c r="P57" s="9" t="s">
        <v>58</v>
      </c>
      <c r="Q57" s="9">
        <v>1132</v>
      </c>
      <c r="R57" s="9">
        <v>256</v>
      </c>
      <c r="S57" s="9">
        <v>876</v>
      </c>
      <c r="T57" s="9">
        <v>195</v>
      </c>
      <c r="U57" s="9">
        <v>0</v>
      </c>
      <c r="V57" s="9" t="s">
        <v>114</v>
      </c>
      <c r="W57" s="9">
        <v>0</v>
      </c>
      <c r="X57" s="9">
        <v>0</v>
      </c>
      <c r="Y57" s="9">
        <v>0</v>
      </c>
      <c r="Z57" s="9">
        <v>0</v>
      </c>
      <c r="AA57" s="9">
        <v>27</v>
      </c>
      <c r="AB57" s="9">
        <v>17</v>
      </c>
      <c r="AC57" s="9">
        <v>14</v>
      </c>
      <c r="AD57" s="9" t="s">
        <v>0</v>
      </c>
      <c r="AE57" s="9" t="s">
        <v>60</v>
      </c>
    </row>
    <row r="58" spans="1:31" ht="76.5" x14ac:dyDescent="0.2">
      <c r="A58" s="8" t="str">
        <f>HYPERLINK("http://www.patentics.cn/invokexml.do?sx=showpatent_cn&amp;sf=ShowPatent&amp;spn=US9137822&amp;sx=showpatent_cn&amp;sv=140b2ffde8e061d839e7a80bce67b44b","US9137822")</f>
        <v>US9137822</v>
      </c>
      <c r="B58" s="9" t="s">
        <v>315</v>
      </c>
      <c r="C58" s="9" t="s">
        <v>316</v>
      </c>
      <c r="D58" s="9" t="s">
        <v>48</v>
      </c>
      <c r="E58" s="9" t="s">
        <v>49</v>
      </c>
      <c r="F58" s="9" t="s">
        <v>317</v>
      </c>
      <c r="G58" s="9" t="s">
        <v>318</v>
      </c>
      <c r="H58" s="9" t="s">
        <v>319</v>
      </c>
      <c r="I58" s="9" t="s">
        <v>209</v>
      </c>
      <c r="J58" s="9" t="s">
        <v>196</v>
      </c>
      <c r="K58" s="9" t="s">
        <v>89</v>
      </c>
      <c r="L58" s="9" t="s">
        <v>320</v>
      </c>
      <c r="M58" s="9">
        <v>33</v>
      </c>
      <c r="N58" s="9">
        <v>16</v>
      </c>
      <c r="O58" s="9" t="s">
        <v>57</v>
      </c>
      <c r="P58" s="9" t="s">
        <v>58</v>
      </c>
      <c r="Q58" s="9">
        <v>1042</v>
      </c>
      <c r="R58" s="9">
        <v>239</v>
      </c>
      <c r="S58" s="9">
        <v>803</v>
      </c>
      <c r="T58" s="9">
        <v>186</v>
      </c>
      <c r="U58" s="9">
        <v>1</v>
      </c>
      <c r="V58" s="9" t="s">
        <v>321</v>
      </c>
      <c r="W58" s="9">
        <v>1</v>
      </c>
      <c r="X58" s="9">
        <v>0</v>
      </c>
      <c r="Y58" s="9">
        <v>1</v>
      </c>
      <c r="Z58" s="9">
        <v>1</v>
      </c>
      <c r="AA58" s="9">
        <v>48</v>
      </c>
      <c r="AB58" s="9">
        <v>20</v>
      </c>
      <c r="AC58" s="9">
        <v>14</v>
      </c>
      <c r="AD58" s="9" t="s">
        <v>0</v>
      </c>
      <c r="AE58" s="9" t="s">
        <v>60</v>
      </c>
    </row>
    <row r="59" spans="1:31" ht="114.75" x14ac:dyDescent="0.2">
      <c r="A59" s="8" t="str">
        <f>HYPERLINK("http://www.patentics.cn/invokexml.do?sx=showpatent_cn&amp;sf=ShowPatent&amp;spn=US9143305&amp;sx=showpatent_cn&amp;sv=d89782f0a70330756693fa350099cbbe","US9143305")</f>
        <v>US9143305</v>
      </c>
      <c r="B59" s="9" t="s">
        <v>198</v>
      </c>
      <c r="C59" s="9" t="s">
        <v>199</v>
      </c>
      <c r="D59" s="9" t="s">
        <v>48</v>
      </c>
      <c r="E59" s="9" t="s">
        <v>49</v>
      </c>
      <c r="F59" s="9" t="s">
        <v>200</v>
      </c>
      <c r="G59" s="9" t="s">
        <v>86</v>
      </c>
      <c r="H59" s="9" t="s">
        <v>201</v>
      </c>
      <c r="I59" s="9" t="s">
        <v>201</v>
      </c>
      <c r="J59" s="9" t="s">
        <v>202</v>
      </c>
      <c r="K59" s="9" t="s">
        <v>40</v>
      </c>
      <c r="L59" s="9" t="s">
        <v>41</v>
      </c>
      <c r="M59" s="9">
        <v>45</v>
      </c>
      <c r="N59" s="9">
        <v>23</v>
      </c>
      <c r="O59" s="9" t="s">
        <v>57</v>
      </c>
      <c r="P59" s="9" t="s">
        <v>58</v>
      </c>
      <c r="Q59" s="9">
        <v>1140</v>
      </c>
      <c r="R59" s="9">
        <v>258</v>
      </c>
      <c r="S59" s="9">
        <v>882</v>
      </c>
      <c r="T59" s="9">
        <v>195</v>
      </c>
      <c r="U59" s="9">
        <v>1</v>
      </c>
      <c r="V59" s="9" t="s">
        <v>114</v>
      </c>
      <c r="W59" s="9">
        <v>1</v>
      </c>
      <c r="X59" s="9">
        <v>0</v>
      </c>
      <c r="Y59" s="9">
        <v>1</v>
      </c>
      <c r="Z59" s="9">
        <v>1</v>
      </c>
      <c r="AA59" s="9">
        <v>44</v>
      </c>
      <c r="AB59" s="9">
        <v>16</v>
      </c>
      <c r="AC59" s="9">
        <v>14</v>
      </c>
      <c r="AD59" s="9" t="s">
        <v>0</v>
      </c>
      <c r="AE59" s="9" t="s">
        <v>60</v>
      </c>
    </row>
    <row r="60" spans="1:31" ht="51" x14ac:dyDescent="0.2">
      <c r="A60" s="8" t="str">
        <f>HYPERLINK("http://www.patentics.cn/invokexml.do?sx=showpatent_cn&amp;sf=ShowPatent&amp;spn=US9144060&amp;sx=showpatent_cn&amp;sv=8c29e05d6d5d33684f380d7169517658","US9144060")</f>
        <v>US9144060</v>
      </c>
      <c r="B60" s="9" t="s">
        <v>203</v>
      </c>
      <c r="C60" s="9" t="s">
        <v>204</v>
      </c>
      <c r="D60" s="9" t="s">
        <v>48</v>
      </c>
      <c r="E60" s="9" t="s">
        <v>49</v>
      </c>
      <c r="F60" s="9" t="s">
        <v>205</v>
      </c>
      <c r="G60" s="9" t="s">
        <v>74</v>
      </c>
      <c r="H60" s="9" t="s">
        <v>87</v>
      </c>
      <c r="I60" s="9" t="s">
        <v>111</v>
      </c>
      <c r="J60" s="9" t="s">
        <v>202</v>
      </c>
      <c r="K60" s="9" t="s">
        <v>55</v>
      </c>
      <c r="L60" s="9" t="s">
        <v>206</v>
      </c>
      <c r="M60" s="9">
        <v>35</v>
      </c>
      <c r="N60" s="9">
        <v>21</v>
      </c>
      <c r="O60" s="9" t="s">
        <v>57</v>
      </c>
      <c r="P60" s="9" t="s">
        <v>58</v>
      </c>
      <c r="Q60" s="9">
        <v>1144</v>
      </c>
      <c r="R60" s="9">
        <v>260</v>
      </c>
      <c r="S60" s="9">
        <v>884</v>
      </c>
      <c r="T60" s="9">
        <v>197</v>
      </c>
      <c r="U60" s="9">
        <v>0</v>
      </c>
      <c r="V60" s="9" t="s">
        <v>114</v>
      </c>
      <c r="W60" s="9">
        <v>0</v>
      </c>
      <c r="X60" s="9">
        <v>0</v>
      </c>
      <c r="Y60" s="9">
        <v>0</v>
      </c>
      <c r="Z60" s="9">
        <v>0</v>
      </c>
      <c r="AA60" s="9">
        <v>52</v>
      </c>
      <c r="AB60" s="9">
        <v>18</v>
      </c>
      <c r="AC60" s="9">
        <v>14</v>
      </c>
      <c r="AD60" s="9" t="s">
        <v>0</v>
      </c>
      <c r="AE60" s="9" t="s">
        <v>60</v>
      </c>
    </row>
    <row r="61" spans="1:31" ht="51" x14ac:dyDescent="0.2">
      <c r="A61" s="8" t="str">
        <f>HYPERLINK("http://www.patentics.cn/invokexml.do?sx=showpatent_cn&amp;sf=ShowPatent&amp;spn=US9148256&amp;sx=showpatent_cn&amp;sv=33226b7393bc9b85817bbf11d164b685","US9148256")</f>
        <v>US9148256</v>
      </c>
      <c r="B61" s="9" t="s">
        <v>207</v>
      </c>
      <c r="C61" s="9" t="s">
        <v>208</v>
      </c>
      <c r="D61" s="9" t="s">
        <v>117</v>
      </c>
      <c r="E61" s="9" t="s">
        <v>49</v>
      </c>
      <c r="F61" s="9" t="s">
        <v>63</v>
      </c>
      <c r="G61" s="9" t="s">
        <v>64</v>
      </c>
      <c r="H61" s="9" t="s">
        <v>209</v>
      </c>
      <c r="I61" s="9" t="s">
        <v>209</v>
      </c>
      <c r="J61" s="9" t="s">
        <v>210</v>
      </c>
      <c r="K61" s="9" t="s">
        <v>68</v>
      </c>
      <c r="L61" s="9" t="s">
        <v>211</v>
      </c>
      <c r="M61" s="9">
        <v>28</v>
      </c>
      <c r="N61" s="9">
        <v>17</v>
      </c>
      <c r="O61" s="9" t="s">
        <v>57</v>
      </c>
      <c r="P61" s="9" t="s">
        <v>58</v>
      </c>
      <c r="Q61" s="9">
        <v>1068</v>
      </c>
      <c r="R61" s="9">
        <v>243</v>
      </c>
      <c r="S61" s="9">
        <v>825</v>
      </c>
      <c r="T61" s="9">
        <v>192</v>
      </c>
      <c r="U61" s="9">
        <v>1</v>
      </c>
      <c r="V61" s="9" t="s">
        <v>70</v>
      </c>
      <c r="W61" s="9">
        <v>0</v>
      </c>
      <c r="X61" s="9">
        <v>1</v>
      </c>
      <c r="Y61" s="9">
        <v>1</v>
      </c>
      <c r="Z61" s="9">
        <v>1</v>
      </c>
      <c r="AA61" s="9">
        <v>39</v>
      </c>
      <c r="AB61" s="9">
        <v>17</v>
      </c>
      <c r="AC61" s="9">
        <v>14</v>
      </c>
      <c r="AD61" s="9" t="s">
        <v>0</v>
      </c>
      <c r="AE61" s="9" t="s">
        <v>60</v>
      </c>
    </row>
    <row r="62" spans="1:31" ht="127.5" x14ac:dyDescent="0.2">
      <c r="A62" s="8" t="str">
        <f>HYPERLINK("http://www.patentics.cn/invokexml.do?sx=showpatent_cn&amp;sf=ShowPatent&amp;spn=US9154211&amp;sx=showpatent_cn&amp;sv=f0ffc8ad0baadd5591d9f2c408909400","US9154211")</f>
        <v>US9154211</v>
      </c>
      <c r="B62" s="9" t="s">
        <v>212</v>
      </c>
      <c r="C62" s="9" t="s">
        <v>213</v>
      </c>
      <c r="D62" s="9" t="s">
        <v>48</v>
      </c>
      <c r="E62" s="9" t="s">
        <v>49</v>
      </c>
      <c r="F62" s="9" t="s">
        <v>214</v>
      </c>
      <c r="G62" s="9" t="s">
        <v>64</v>
      </c>
      <c r="H62" s="9" t="s">
        <v>215</v>
      </c>
      <c r="I62" s="9" t="s">
        <v>216</v>
      </c>
      <c r="J62" s="9" t="s">
        <v>217</v>
      </c>
      <c r="K62" s="9" t="s">
        <v>68</v>
      </c>
      <c r="L62" s="9" t="s">
        <v>218</v>
      </c>
      <c r="M62" s="9">
        <v>79</v>
      </c>
      <c r="N62" s="9">
        <v>16</v>
      </c>
      <c r="O62" s="9" t="s">
        <v>57</v>
      </c>
      <c r="P62" s="9" t="s">
        <v>58</v>
      </c>
      <c r="Q62" s="9">
        <v>1131</v>
      </c>
      <c r="R62" s="9">
        <v>252</v>
      </c>
      <c r="S62" s="9">
        <v>879</v>
      </c>
      <c r="T62" s="9">
        <v>193</v>
      </c>
      <c r="U62" s="9">
        <v>14</v>
      </c>
      <c r="V62" s="9" t="s">
        <v>114</v>
      </c>
      <c r="W62" s="9">
        <v>0</v>
      </c>
      <c r="X62" s="9">
        <v>14</v>
      </c>
      <c r="Y62" s="9">
        <v>0</v>
      </c>
      <c r="Z62" s="9">
        <v>1</v>
      </c>
      <c r="AA62" s="9">
        <v>27</v>
      </c>
      <c r="AB62" s="9">
        <v>15</v>
      </c>
      <c r="AC62" s="9">
        <v>14</v>
      </c>
      <c r="AD62" s="9" t="s">
        <v>0</v>
      </c>
      <c r="AE62" s="9" t="s">
        <v>60</v>
      </c>
    </row>
    <row r="63" spans="1:31" ht="89.25" x14ac:dyDescent="0.2">
      <c r="A63" s="8" t="str">
        <f>HYPERLINK("http://www.patentics.cn/invokexml.do?sx=showpatent_cn&amp;sf=ShowPatent&amp;spn=US9172453&amp;sx=showpatent_cn&amp;sv=9656e7b7eb455db6f3102f6b49e88d5b","US9172453")</f>
        <v>US9172453</v>
      </c>
      <c r="B63" s="9" t="s">
        <v>219</v>
      </c>
      <c r="C63" s="9" t="s">
        <v>220</v>
      </c>
      <c r="D63" s="9" t="s">
        <v>48</v>
      </c>
      <c r="E63" s="9" t="s">
        <v>49</v>
      </c>
      <c r="F63" s="9" t="s">
        <v>221</v>
      </c>
      <c r="G63" s="9" t="s">
        <v>222</v>
      </c>
      <c r="H63" s="9" t="s">
        <v>87</v>
      </c>
      <c r="I63" s="9" t="s">
        <v>87</v>
      </c>
      <c r="J63" s="9" t="s">
        <v>223</v>
      </c>
      <c r="K63" s="9" t="s">
        <v>40</v>
      </c>
      <c r="L63" s="9" t="s">
        <v>224</v>
      </c>
      <c r="M63" s="9">
        <v>29</v>
      </c>
      <c r="N63" s="9">
        <v>7</v>
      </c>
      <c r="O63" s="9" t="s">
        <v>57</v>
      </c>
      <c r="P63" s="9" t="s">
        <v>58</v>
      </c>
      <c r="Q63" s="9">
        <v>1140</v>
      </c>
      <c r="R63" s="9">
        <v>259</v>
      </c>
      <c r="S63" s="9">
        <v>881</v>
      </c>
      <c r="T63" s="9">
        <v>197</v>
      </c>
      <c r="U63" s="9">
        <v>0</v>
      </c>
      <c r="V63" s="9" t="s">
        <v>114</v>
      </c>
      <c r="W63" s="9">
        <v>0</v>
      </c>
      <c r="X63" s="9">
        <v>0</v>
      </c>
      <c r="Y63" s="9">
        <v>0</v>
      </c>
      <c r="Z63" s="9">
        <v>0</v>
      </c>
      <c r="AA63" s="9">
        <v>20</v>
      </c>
      <c r="AB63" s="9">
        <v>15</v>
      </c>
      <c r="AC63" s="9">
        <v>14</v>
      </c>
      <c r="AD63" s="9" t="s">
        <v>0</v>
      </c>
      <c r="AE63" s="9" t="s">
        <v>60</v>
      </c>
    </row>
    <row r="64" spans="1:31" ht="140.25" x14ac:dyDescent="0.2">
      <c r="A64" s="8" t="str">
        <f>HYPERLINK("http://www.patentics.cn/invokexml.do?sx=showpatent_cn&amp;sf=ShowPatent&amp;spn=US9179319&amp;sx=showpatent_cn&amp;sv=f4706c10d1134eeb6e4bdf1ca1c83070","US9179319")</f>
        <v>US9179319</v>
      </c>
      <c r="B64" s="9" t="s">
        <v>225</v>
      </c>
      <c r="C64" s="9" t="s">
        <v>226</v>
      </c>
      <c r="D64" s="9" t="s">
        <v>48</v>
      </c>
      <c r="E64" s="9" t="s">
        <v>49</v>
      </c>
      <c r="F64" s="9" t="s">
        <v>227</v>
      </c>
      <c r="G64" s="9" t="s">
        <v>126</v>
      </c>
      <c r="H64" s="9" t="s">
        <v>101</v>
      </c>
      <c r="I64" s="9" t="s">
        <v>87</v>
      </c>
      <c r="J64" s="9" t="s">
        <v>228</v>
      </c>
      <c r="K64" s="9" t="s">
        <v>229</v>
      </c>
      <c r="L64" s="9" t="s">
        <v>230</v>
      </c>
      <c r="M64" s="9">
        <v>45</v>
      </c>
      <c r="N64" s="9">
        <v>18</v>
      </c>
      <c r="O64" s="9" t="s">
        <v>57</v>
      </c>
      <c r="P64" s="9" t="s">
        <v>58</v>
      </c>
      <c r="Q64" s="9">
        <v>1125</v>
      </c>
      <c r="R64" s="9">
        <v>250</v>
      </c>
      <c r="S64" s="9">
        <v>875</v>
      </c>
      <c r="T64" s="9">
        <v>192</v>
      </c>
      <c r="U64" s="9">
        <v>0</v>
      </c>
      <c r="V64" s="9" t="s">
        <v>114</v>
      </c>
      <c r="W64" s="9">
        <v>0</v>
      </c>
      <c r="X64" s="9">
        <v>0</v>
      </c>
      <c r="Y64" s="9">
        <v>0</v>
      </c>
      <c r="Z64" s="9">
        <v>0</v>
      </c>
      <c r="AA64" s="9">
        <v>15</v>
      </c>
      <c r="AB64" s="9">
        <v>8</v>
      </c>
      <c r="AC64" s="9">
        <v>14</v>
      </c>
      <c r="AD64" s="9" t="s">
        <v>0</v>
      </c>
      <c r="AE64" s="9" t="s">
        <v>60</v>
      </c>
    </row>
    <row r="65" spans="1:31" ht="191.25" x14ac:dyDescent="0.2">
      <c r="A65" s="8" t="str">
        <f>HYPERLINK("http://www.patentics.cn/invokexml.do?sx=showpatent_cn&amp;sf=ShowPatent&amp;spn=US9184870&amp;sx=showpatent_cn&amp;sv=db072ea5fa2f90df8418892a71e07d59","US9184870")</f>
        <v>US9184870</v>
      </c>
      <c r="B65" s="9" t="s">
        <v>231</v>
      </c>
      <c r="C65" s="9" t="s">
        <v>232</v>
      </c>
      <c r="D65" s="9" t="s">
        <v>48</v>
      </c>
      <c r="E65" s="9" t="s">
        <v>49</v>
      </c>
      <c r="F65" s="9" t="s">
        <v>233</v>
      </c>
      <c r="G65" s="9" t="s">
        <v>64</v>
      </c>
      <c r="H65" s="9" t="s">
        <v>234</v>
      </c>
      <c r="I65" s="9" t="s">
        <v>87</v>
      </c>
      <c r="J65" s="9" t="s">
        <v>235</v>
      </c>
      <c r="K65" s="9" t="s">
        <v>89</v>
      </c>
      <c r="L65" s="9" t="s">
        <v>236</v>
      </c>
      <c r="M65" s="9">
        <v>28</v>
      </c>
      <c r="N65" s="9">
        <v>18</v>
      </c>
      <c r="O65" s="9" t="s">
        <v>57</v>
      </c>
      <c r="P65" s="9" t="s">
        <v>58</v>
      </c>
      <c r="Q65" s="9">
        <v>1067</v>
      </c>
      <c r="R65" s="9">
        <v>241</v>
      </c>
      <c r="S65" s="9">
        <v>826</v>
      </c>
      <c r="T65" s="9">
        <v>189</v>
      </c>
      <c r="U65" s="9">
        <v>14</v>
      </c>
      <c r="V65" s="9" t="s">
        <v>114</v>
      </c>
      <c r="W65" s="9">
        <v>0</v>
      </c>
      <c r="X65" s="9">
        <v>14</v>
      </c>
      <c r="Y65" s="9">
        <v>0</v>
      </c>
      <c r="Z65" s="9">
        <v>1</v>
      </c>
      <c r="AA65" s="9">
        <v>32</v>
      </c>
      <c r="AB65" s="9">
        <v>19</v>
      </c>
      <c r="AC65" s="9">
        <v>14</v>
      </c>
      <c r="AD65" s="9" t="s">
        <v>0</v>
      </c>
      <c r="AE65" s="9" t="s">
        <v>60</v>
      </c>
    </row>
    <row r="66" spans="1:31" ht="38.25" x14ac:dyDescent="0.2">
      <c r="A66" s="8" t="str">
        <f>HYPERLINK("http://www.patentics.cn/invokexml.do?sx=showpatent_cn&amp;sf=ShowPatent&amp;spn=US9209956&amp;sx=showpatent_cn&amp;sv=dabc5b183710a80969c4fe5d2c6d4be8","US9209956")</f>
        <v>US9209956</v>
      </c>
      <c r="B66" s="9" t="s">
        <v>237</v>
      </c>
      <c r="C66" s="9" t="s">
        <v>238</v>
      </c>
      <c r="D66" s="9" t="s">
        <v>48</v>
      </c>
      <c r="E66" s="9" t="s">
        <v>49</v>
      </c>
      <c r="F66" s="9" t="s">
        <v>239</v>
      </c>
      <c r="G66" s="9" t="s">
        <v>86</v>
      </c>
      <c r="H66" s="9" t="s">
        <v>175</v>
      </c>
      <c r="I66" s="9" t="s">
        <v>87</v>
      </c>
      <c r="J66" s="9" t="s">
        <v>240</v>
      </c>
      <c r="K66" s="9" t="s">
        <v>40</v>
      </c>
      <c r="L66" s="9" t="s">
        <v>224</v>
      </c>
      <c r="M66" s="9">
        <v>29</v>
      </c>
      <c r="N66" s="9">
        <v>0</v>
      </c>
      <c r="O66" s="9" t="s">
        <v>57</v>
      </c>
      <c r="P66" s="9" t="s">
        <v>58</v>
      </c>
      <c r="Q66" s="9">
        <v>1134</v>
      </c>
      <c r="R66" s="9">
        <v>253</v>
      </c>
      <c r="S66" s="9">
        <v>881</v>
      </c>
      <c r="T66" s="9">
        <v>195</v>
      </c>
      <c r="U66" s="9">
        <v>0</v>
      </c>
      <c r="V66" s="9" t="s">
        <v>114</v>
      </c>
      <c r="W66" s="9">
        <v>0</v>
      </c>
      <c r="X66" s="9">
        <v>0</v>
      </c>
      <c r="Y66" s="9">
        <v>0</v>
      </c>
      <c r="Z66" s="9">
        <v>0</v>
      </c>
      <c r="AA66" s="9">
        <v>15</v>
      </c>
      <c r="AB66" s="9">
        <v>8</v>
      </c>
      <c r="AC66" s="9">
        <v>14</v>
      </c>
      <c r="AD66" s="9" t="s">
        <v>0</v>
      </c>
      <c r="AE66" s="9" t="s">
        <v>60</v>
      </c>
    </row>
    <row r="67" spans="1:31" ht="114.75" x14ac:dyDescent="0.2">
      <c r="A67" s="8" t="str">
        <f>HYPERLINK("http://www.patentics.cn/invokexml.do?sx=showpatent_cn&amp;sf=ShowPatent&amp;spn=US9210651&amp;sx=showpatent_cn&amp;sv=5a728f0f537d61e18be57753992e0c44","US9210651")</f>
        <v>US9210651</v>
      </c>
      <c r="B67" s="9" t="s">
        <v>241</v>
      </c>
      <c r="C67" s="9" t="s">
        <v>242</v>
      </c>
      <c r="D67" s="9" t="s">
        <v>48</v>
      </c>
      <c r="E67" s="9" t="s">
        <v>49</v>
      </c>
      <c r="F67" s="9" t="s">
        <v>243</v>
      </c>
      <c r="G67" s="9" t="s">
        <v>244</v>
      </c>
      <c r="H67" s="9" t="s">
        <v>87</v>
      </c>
      <c r="I67" s="9" t="s">
        <v>87</v>
      </c>
      <c r="J67" s="9" t="s">
        <v>240</v>
      </c>
      <c r="K67" s="9" t="s">
        <v>68</v>
      </c>
      <c r="L67" s="9" t="s">
        <v>245</v>
      </c>
      <c r="M67" s="9">
        <v>30</v>
      </c>
      <c r="N67" s="9">
        <v>0</v>
      </c>
      <c r="O67" s="9" t="s">
        <v>57</v>
      </c>
      <c r="P67" s="9" t="s">
        <v>58</v>
      </c>
      <c r="Q67" s="9">
        <v>1131</v>
      </c>
      <c r="R67" s="9">
        <v>254</v>
      </c>
      <c r="S67" s="9">
        <v>877</v>
      </c>
      <c r="T67" s="9">
        <v>197</v>
      </c>
      <c r="U67" s="9">
        <v>1</v>
      </c>
      <c r="V67" s="9" t="s">
        <v>114</v>
      </c>
      <c r="W67" s="9">
        <v>0</v>
      </c>
      <c r="X67" s="9">
        <v>1</v>
      </c>
      <c r="Y67" s="9">
        <v>1</v>
      </c>
      <c r="Z67" s="9">
        <v>1</v>
      </c>
      <c r="AA67" s="9">
        <v>23</v>
      </c>
      <c r="AB67" s="9">
        <v>13</v>
      </c>
      <c r="AC67" s="9">
        <v>14</v>
      </c>
      <c r="AD67" s="9" t="s">
        <v>0</v>
      </c>
      <c r="AE67" s="9" t="s">
        <v>60</v>
      </c>
    </row>
    <row r="68" spans="1:31" ht="114.75" x14ac:dyDescent="0.2">
      <c r="A68" s="8" t="str">
        <f>HYPERLINK("http://www.patentics.cn/invokexml.do?sx=showpatent_cn&amp;sf=ShowPatent&amp;spn=US9225416&amp;sx=showpatent_cn&amp;sv=7bc0a10405e6093ca4105b0da4580319","US9225416")</f>
        <v>US9225416</v>
      </c>
      <c r="B68" s="9" t="s">
        <v>246</v>
      </c>
      <c r="C68" s="9" t="s">
        <v>247</v>
      </c>
      <c r="D68" s="9" t="s">
        <v>48</v>
      </c>
      <c r="E68" s="9" t="s">
        <v>49</v>
      </c>
      <c r="F68" s="9" t="s">
        <v>248</v>
      </c>
      <c r="G68" s="9" t="s">
        <v>86</v>
      </c>
      <c r="H68" s="9" t="s">
        <v>87</v>
      </c>
      <c r="I68" s="9" t="s">
        <v>87</v>
      </c>
      <c r="J68" s="9" t="s">
        <v>249</v>
      </c>
      <c r="K68" s="9" t="s">
        <v>40</v>
      </c>
      <c r="L68" s="9" t="s">
        <v>41</v>
      </c>
      <c r="M68" s="9">
        <v>57</v>
      </c>
      <c r="N68" s="9">
        <v>10</v>
      </c>
      <c r="O68" s="9" t="s">
        <v>57</v>
      </c>
      <c r="P68" s="9" t="s">
        <v>58</v>
      </c>
      <c r="Q68" s="9">
        <v>1093</v>
      </c>
      <c r="R68" s="9">
        <v>240</v>
      </c>
      <c r="S68" s="9">
        <v>853</v>
      </c>
      <c r="T68" s="9">
        <v>194</v>
      </c>
      <c r="U68" s="9">
        <v>1</v>
      </c>
      <c r="V68" s="9" t="s">
        <v>70</v>
      </c>
      <c r="W68" s="9">
        <v>0</v>
      </c>
      <c r="X68" s="9">
        <v>1</v>
      </c>
      <c r="Y68" s="9">
        <v>1</v>
      </c>
      <c r="Z68" s="9">
        <v>1</v>
      </c>
      <c r="AA68" s="9">
        <v>25</v>
      </c>
      <c r="AB68" s="9">
        <v>15</v>
      </c>
      <c r="AC68" s="9">
        <v>14</v>
      </c>
      <c r="AD68" s="9" t="s">
        <v>0</v>
      </c>
      <c r="AE68" s="9" t="s">
        <v>60</v>
      </c>
    </row>
    <row r="69" spans="1:31" ht="127.5" x14ac:dyDescent="0.2">
      <c r="A69" s="8" t="str">
        <f>HYPERLINK("http://www.patentics.cn/invokexml.do?sx=showpatent_cn&amp;sf=ShowPatent&amp;spn=US9225488&amp;sx=showpatent_cn&amp;sv=ca12ebcb7efe460858f3ce934ba3e9a1","US9225488")</f>
        <v>US9225488</v>
      </c>
      <c r="B69" s="9" t="s">
        <v>250</v>
      </c>
      <c r="C69" s="9" t="s">
        <v>251</v>
      </c>
      <c r="D69" s="9" t="s">
        <v>48</v>
      </c>
      <c r="E69" s="9" t="s">
        <v>49</v>
      </c>
      <c r="F69" s="9" t="s">
        <v>252</v>
      </c>
      <c r="G69" s="9" t="s">
        <v>74</v>
      </c>
      <c r="H69" s="9" t="s">
        <v>87</v>
      </c>
      <c r="I69" s="9" t="s">
        <v>87</v>
      </c>
      <c r="J69" s="9" t="s">
        <v>249</v>
      </c>
      <c r="K69" s="9" t="s">
        <v>40</v>
      </c>
      <c r="L69" s="9" t="s">
        <v>224</v>
      </c>
      <c r="M69" s="9">
        <v>78</v>
      </c>
      <c r="N69" s="9">
        <v>15</v>
      </c>
      <c r="O69" s="9" t="s">
        <v>57</v>
      </c>
      <c r="P69" s="9" t="s">
        <v>58</v>
      </c>
      <c r="Q69" s="9">
        <v>1141</v>
      </c>
      <c r="R69" s="9">
        <v>261</v>
      </c>
      <c r="S69" s="9">
        <v>880</v>
      </c>
      <c r="T69" s="9">
        <v>196</v>
      </c>
      <c r="U69" s="9">
        <v>0</v>
      </c>
      <c r="V69" s="9" t="s">
        <v>114</v>
      </c>
      <c r="W69" s="9">
        <v>0</v>
      </c>
      <c r="X69" s="9">
        <v>0</v>
      </c>
      <c r="Y69" s="9">
        <v>0</v>
      </c>
      <c r="Z69" s="9">
        <v>0</v>
      </c>
      <c r="AA69" s="9">
        <v>52</v>
      </c>
      <c r="AB69" s="9">
        <v>18</v>
      </c>
      <c r="AC69" s="9">
        <v>14</v>
      </c>
      <c r="AD69" s="9" t="s">
        <v>0</v>
      </c>
      <c r="AE69" s="9" t="s">
        <v>60</v>
      </c>
    </row>
    <row r="70" spans="1:31" ht="38.25" x14ac:dyDescent="0.2">
      <c r="A70" s="8" t="str">
        <f>HYPERLINK("http://www.patentics.cn/invokexml.do?sx=showpatent_cn&amp;sf=ShowPatent&amp;spn=US9240877&amp;sx=showpatent_cn&amp;sv=0e640918b853e78c5e4c3e664547d86b","US9240877")</f>
        <v>US9240877</v>
      </c>
      <c r="B70" s="9" t="s">
        <v>253</v>
      </c>
      <c r="C70" s="9" t="s">
        <v>238</v>
      </c>
      <c r="D70" s="9" t="s">
        <v>48</v>
      </c>
      <c r="E70" s="9" t="s">
        <v>49</v>
      </c>
      <c r="F70" s="9" t="s">
        <v>254</v>
      </c>
      <c r="G70" s="9" t="s">
        <v>255</v>
      </c>
      <c r="H70" s="9" t="s">
        <v>175</v>
      </c>
      <c r="I70" s="9" t="s">
        <v>256</v>
      </c>
      <c r="J70" s="9" t="s">
        <v>257</v>
      </c>
      <c r="K70" s="9" t="s">
        <v>55</v>
      </c>
      <c r="L70" s="9" t="s">
        <v>56</v>
      </c>
      <c r="M70" s="9">
        <v>18</v>
      </c>
      <c r="N70" s="9">
        <v>31</v>
      </c>
      <c r="O70" s="9" t="s">
        <v>57</v>
      </c>
      <c r="P70" s="9" t="s">
        <v>58</v>
      </c>
      <c r="Q70" s="9">
        <v>1136</v>
      </c>
      <c r="R70" s="9">
        <v>253</v>
      </c>
      <c r="S70" s="9">
        <v>883</v>
      </c>
      <c r="T70" s="9">
        <v>198</v>
      </c>
      <c r="U70" s="9">
        <v>1</v>
      </c>
      <c r="V70" s="9" t="s">
        <v>82</v>
      </c>
      <c r="W70" s="9">
        <v>0</v>
      </c>
      <c r="X70" s="9">
        <v>1</v>
      </c>
      <c r="Y70" s="9">
        <v>1</v>
      </c>
      <c r="Z70" s="9">
        <v>1</v>
      </c>
      <c r="AA70" s="9">
        <v>15</v>
      </c>
      <c r="AB70" s="9">
        <v>8</v>
      </c>
      <c r="AC70" s="9">
        <v>14</v>
      </c>
      <c r="AD70" s="9" t="s">
        <v>0</v>
      </c>
      <c r="AE70" s="9" t="s">
        <v>60</v>
      </c>
    </row>
    <row r="71" spans="1:31" ht="114.75" x14ac:dyDescent="0.2">
      <c r="A71" s="8" t="str">
        <f>HYPERLINK("http://www.patentics.cn/invokexml.do?sx=showpatent_cn&amp;sf=ShowPatent&amp;spn=US9246560&amp;sx=showpatent_cn&amp;sv=096c93bf836482cc6653027ac3c38bbb","US9246560")</f>
        <v>US9246560</v>
      </c>
      <c r="B71" s="9" t="s">
        <v>258</v>
      </c>
      <c r="C71" s="9" t="s">
        <v>259</v>
      </c>
      <c r="D71" s="9" t="s">
        <v>48</v>
      </c>
      <c r="E71" s="9" t="s">
        <v>49</v>
      </c>
      <c r="F71" s="9" t="s">
        <v>260</v>
      </c>
      <c r="G71" s="9" t="s">
        <v>64</v>
      </c>
      <c r="H71" s="9" t="s">
        <v>261</v>
      </c>
      <c r="I71" s="9" t="s">
        <v>39</v>
      </c>
      <c r="J71" s="9" t="s">
        <v>262</v>
      </c>
      <c r="K71" s="9" t="s">
        <v>89</v>
      </c>
      <c r="L71" s="9" t="s">
        <v>263</v>
      </c>
      <c r="M71" s="9">
        <v>16</v>
      </c>
      <c r="N71" s="9">
        <v>9</v>
      </c>
      <c r="O71" s="9" t="s">
        <v>57</v>
      </c>
      <c r="P71" s="9" t="s">
        <v>58</v>
      </c>
      <c r="Q71" s="9">
        <v>1140</v>
      </c>
      <c r="R71" s="9">
        <v>254</v>
      </c>
      <c r="S71" s="9">
        <v>886</v>
      </c>
      <c r="T71" s="9">
        <v>196</v>
      </c>
      <c r="U71" s="9">
        <v>1</v>
      </c>
      <c r="V71" s="9" t="s">
        <v>264</v>
      </c>
      <c r="W71" s="9">
        <v>0</v>
      </c>
      <c r="X71" s="9">
        <v>1</v>
      </c>
      <c r="Y71" s="9">
        <v>1</v>
      </c>
      <c r="Z71" s="9">
        <v>1</v>
      </c>
      <c r="AA71" s="9">
        <v>51</v>
      </c>
      <c r="AB71" s="9">
        <v>18</v>
      </c>
      <c r="AC71" s="9">
        <v>14</v>
      </c>
      <c r="AD71" s="9" t="s">
        <v>0</v>
      </c>
      <c r="AE71" s="9" t="s">
        <v>60</v>
      </c>
    </row>
    <row r="72" spans="1:31" ht="38.25" x14ac:dyDescent="0.2">
      <c r="A72" s="8" t="str">
        <f>HYPERLINK("http://www.patentics.cn/invokexml.do?sx=showpatent_cn&amp;sf=ShowPatent&amp;spn=US9246659&amp;sx=showpatent_cn&amp;sv=551b9e765b5b465fe9c4cfd689d6c97a","US9246659")</f>
        <v>US9246659</v>
      </c>
      <c r="B72" s="9" t="s">
        <v>265</v>
      </c>
      <c r="C72" s="9" t="s">
        <v>238</v>
      </c>
      <c r="D72" s="9" t="s">
        <v>48</v>
      </c>
      <c r="E72" s="9" t="s">
        <v>49</v>
      </c>
      <c r="F72" s="9" t="s">
        <v>254</v>
      </c>
      <c r="G72" s="9" t="s">
        <v>255</v>
      </c>
      <c r="H72" s="9" t="s">
        <v>175</v>
      </c>
      <c r="I72" s="9" t="s">
        <v>256</v>
      </c>
      <c r="J72" s="9" t="s">
        <v>262</v>
      </c>
      <c r="K72" s="9" t="s">
        <v>89</v>
      </c>
      <c r="L72" s="9" t="s">
        <v>266</v>
      </c>
      <c r="M72" s="9">
        <v>28</v>
      </c>
      <c r="N72" s="9">
        <v>18</v>
      </c>
      <c r="O72" s="9" t="s">
        <v>57</v>
      </c>
      <c r="P72" s="9" t="s">
        <v>58</v>
      </c>
      <c r="Q72" s="9">
        <v>1137</v>
      </c>
      <c r="R72" s="9">
        <v>253</v>
      </c>
      <c r="S72" s="9">
        <v>884</v>
      </c>
      <c r="T72" s="9">
        <v>198</v>
      </c>
      <c r="U72" s="9">
        <v>0</v>
      </c>
      <c r="V72" s="9" t="s">
        <v>114</v>
      </c>
      <c r="W72" s="9">
        <v>0</v>
      </c>
      <c r="X72" s="9">
        <v>0</v>
      </c>
      <c r="Y72" s="9">
        <v>0</v>
      </c>
      <c r="Z72" s="9">
        <v>0</v>
      </c>
      <c r="AA72" s="9">
        <v>15</v>
      </c>
      <c r="AB72" s="9">
        <v>8</v>
      </c>
      <c r="AC72" s="9">
        <v>14</v>
      </c>
      <c r="AD72" s="9" t="s">
        <v>0</v>
      </c>
      <c r="AE72" s="9" t="s">
        <v>60</v>
      </c>
    </row>
    <row r="73" spans="1:31" ht="165.75" x14ac:dyDescent="0.2">
      <c r="A73" s="8" t="str">
        <f>HYPERLINK("http://www.patentics.cn/invokexml.do?sx=showpatent_cn&amp;sf=ShowPatent&amp;spn=US9307544&amp;sx=showpatent_cn&amp;sv=a9f0a4343a16e626aaf6d7f7e7ee6202","US9307544")</f>
        <v>US9307544</v>
      </c>
      <c r="B73" s="9" t="s">
        <v>267</v>
      </c>
      <c r="C73" s="9" t="s">
        <v>268</v>
      </c>
      <c r="D73" s="9" t="s">
        <v>48</v>
      </c>
      <c r="E73" s="9" t="s">
        <v>49</v>
      </c>
      <c r="F73" s="9" t="s">
        <v>269</v>
      </c>
      <c r="G73" s="9" t="s">
        <v>126</v>
      </c>
      <c r="H73" s="9" t="s">
        <v>170</v>
      </c>
      <c r="I73" s="9" t="s">
        <v>270</v>
      </c>
      <c r="J73" s="9" t="s">
        <v>271</v>
      </c>
      <c r="K73" s="9" t="s">
        <v>55</v>
      </c>
      <c r="L73" s="9" t="s">
        <v>272</v>
      </c>
      <c r="M73" s="9">
        <v>24</v>
      </c>
      <c r="N73" s="9">
        <v>16</v>
      </c>
      <c r="O73" s="9" t="s">
        <v>57</v>
      </c>
      <c r="P73" s="9" t="s">
        <v>58</v>
      </c>
      <c r="Q73" s="9">
        <v>1093</v>
      </c>
      <c r="R73" s="9">
        <v>269</v>
      </c>
      <c r="S73" s="9">
        <v>824</v>
      </c>
      <c r="T73" s="9">
        <v>197</v>
      </c>
      <c r="U73" s="9">
        <v>8</v>
      </c>
      <c r="V73" s="9" t="s">
        <v>114</v>
      </c>
      <c r="W73" s="9">
        <v>0</v>
      </c>
      <c r="X73" s="9">
        <v>8</v>
      </c>
      <c r="Y73" s="9">
        <v>0</v>
      </c>
      <c r="Z73" s="9">
        <v>1</v>
      </c>
      <c r="AA73" s="9">
        <v>51</v>
      </c>
      <c r="AB73" s="9">
        <v>14</v>
      </c>
      <c r="AC73" s="9">
        <v>14</v>
      </c>
      <c r="AD73" s="9" t="s">
        <v>0</v>
      </c>
      <c r="AE73" s="9" t="s">
        <v>60</v>
      </c>
    </row>
    <row r="74" spans="1:31" ht="114.75" x14ac:dyDescent="0.2">
      <c r="A74" s="8" t="str">
        <f>HYPERLINK("http://www.patentics.cn/invokexml.do?sx=showpatent_cn&amp;sf=ShowPatent&amp;spn=US9408220&amp;sx=showpatent_cn&amp;sv=e9ff43341b48dcd1967c3716ac564275","US9408220")</f>
        <v>US9408220</v>
      </c>
      <c r="B74" s="9" t="s">
        <v>273</v>
      </c>
      <c r="C74" s="9" t="s">
        <v>268</v>
      </c>
      <c r="D74" s="9" t="s">
        <v>48</v>
      </c>
      <c r="E74" s="9" t="s">
        <v>49</v>
      </c>
      <c r="F74" s="9" t="s">
        <v>274</v>
      </c>
      <c r="G74" s="9" t="s">
        <v>126</v>
      </c>
      <c r="H74" s="9" t="s">
        <v>170</v>
      </c>
      <c r="I74" s="9" t="s">
        <v>87</v>
      </c>
      <c r="J74" s="9" t="s">
        <v>275</v>
      </c>
      <c r="K74" s="9" t="s">
        <v>96</v>
      </c>
      <c r="L74" s="9" t="s">
        <v>97</v>
      </c>
      <c r="M74" s="9">
        <v>36</v>
      </c>
      <c r="N74" s="9">
        <v>12</v>
      </c>
      <c r="O74" s="9" t="s">
        <v>57</v>
      </c>
      <c r="P74" s="9" t="s">
        <v>58</v>
      </c>
      <c r="Q74" s="9">
        <v>1143</v>
      </c>
      <c r="R74" s="9">
        <v>258</v>
      </c>
      <c r="S74" s="9">
        <v>885</v>
      </c>
      <c r="T74" s="9">
        <v>197</v>
      </c>
      <c r="U74" s="9">
        <v>0</v>
      </c>
      <c r="V74" s="9" t="s">
        <v>114</v>
      </c>
      <c r="W74" s="9">
        <v>0</v>
      </c>
      <c r="X74" s="9">
        <v>0</v>
      </c>
      <c r="Y74" s="9">
        <v>0</v>
      </c>
      <c r="Z74" s="9">
        <v>0</v>
      </c>
      <c r="AA74" s="9">
        <v>51</v>
      </c>
      <c r="AB74" s="9">
        <v>14</v>
      </c>
      <c r="AC74" s="9">
        <v>14</v>
      </c>
      <c r="AD74" s="9" t="s">
        <v>0</v>
      </c>
      <c r="AE74" s="9" t="s">
        <v>60</v>
      </c>
    </row>
    <row r="75" spans="1:31" ht="76.5" x14ac:dyDescent="0.2">
      <c r="A75" s="8" t="str">
        <f>HYPERLINK("http://www.patentics.cn/invokexml.do?sx=showpatent_cn&amp;sf=ShowPatent&amp;spn=US9426012&amp;sx=showpatent_cn&amp;sv=bc455ecc6146a82fe03f62637e61358f","US9426012")</f>
        <v>US9426012</v>
      </c>
      <c r="B75" s="9" t="s">
        <v>276</v>
      </c>
      <c r="C75" s="9" t="s">
        <v>277</v>
      </c>
      <c r="D75" s="9" t="s">
        <v>48</v>
      </c>
      <c r="E75" s="9" t="s">
        <v>49</v>
      </c>
      <c r="F75" s="9" t="s">
        <v>278</v>
      </c>
      <c r="G75" s="9" t="s">
        <v>187</v>
      </c>
      <c r="H75" s="9" t="s">
        <v>188</v>
      </c>
      <c r="I75" s="9" t="s">
        <v>279</v>
      </c>
      <c r="J75" s="9" t="s">
        <v>280</v>
      </c>
      <c r="K75" s="9" t="s">
        <v>68</v>
      </c>
      <c r="L75" s="9" t="s">
        <v>281</v>
      </c>
      <c r="M75" s="9">
        <v>14</v>
      </c>
      <c r="N75" s="9">
        <v>20</v>
      </c>
      <c r="O75" s="9" t="s">
        <v>57</v>
      </c>
      <c r="P75" s="9" t="s">
        <v>58</v>
      </c>
      <c r="Q75" s="9">
        <v>1008</v>
      </c>
      <c r="R75" s="9">
        <v>197</v>
      </c>
      <c r="S75" s="9">
        <v>811</v>
      </c>
      <c r="T75" s="9">
        <v>191</v>
      </c>
      <c r="U75" s="9">
        <v>1</v>
      </c>
      <c r="V75" s="9" t="s">
        <v>114</v>
      </c>
      <c r="W75" s="9">
        <v>0</v>
      </c>
      <c r="X75" s="9">
        <v>1</v>
      </c>
      <c r="Y75" s="9">
        <v>1</v>
      </c>
      <c r="Z75" s="9">
        <v>1</v>
      </c>
      <c r="AA75" s="9">
        <v>69</v>
      </c>
      <c r="AB75" s="9">
        <v>9</v>
      </c>
      <c r="AC75" s="9">
        <v>14</v>
      </c>
      <c r="AD75" s="9" t="s">
        <v>0</v>
      </c>
      <c r="AE75" s="9" t="s">
        <v>60</v>
      </c>
    </row>
    <row r="76" spans="1:31" ht="114.75" x14ac:dyDescent="0.2">
      <c r="A76" s="8" t="str">
        <f>HYPERLINK("http://www.patentics.cn/invokexml.do?sx=showpatent_cn&amp;sf=ShowPatent&amp;spn=US9461859&amp;sx=showpatent_cn&amp;sv=027d2fad25d71f90e65c341d65dc5cdd","US9461859")</f>
        <v>US9461859</v>
      </c>
      <c r="B76" s="9" t="s">
        <v>282</v>
      </c>
      <c r="C76" s="9" t="s">
        <v>199</v>
      </c>
      <c r="D76" s="9" t="s">
        <v>48</v>
      </c>
      <c r="E76" s="9" t="s">
        <v>49</v>
      </c>
      <c r="F76" s="9" t="s">
        <v>200</v>
      </c>
      <c r="G76" s="9" t="s">
        <v>86</v>
      </c>
      <c r="H76" s="9" t="s">
        <v>87</v>
      </c>
      <c r="I76" s="9" t="s">
        <v>87</v>
      </c>
      <c r="J76" s="9" t="s">
        <v>283</v>
      </c>
      <c r="K76" s="9" t="s">
        <v>89</v>
      </c>
      <c r="L76" s="9" t="s">
        <v>266</v>
      </c>
      <c r="M76" s="9">
        <v>19</v>
      </c>
      <c r="N76" s="9">
        <v>13</v>
      </c>
      <c r="O76" s="9" t="s">
        <v>57</v>
      </c>
      <c r="P76" s="9" t="s">
        <v>58</v>
      </c>
      <c r="Q76" s="9">
        <v>1170</v>
      </c>
      <c r="R76" s="9">
        <v>259</v>
      </c>
      <c r="S76" s="9">
        <v>911</v>
      </c>
      <c r="T76" s="9">
        <v>199</v>
      </c>
      <c r="U76" s="9">
        <v>0</v>
      </c>
      <c r="V76" s="9" t="s">
        <v>114</v>
      </c>
      <c r="W76" s="9">
        <v>0</v>
      </c>
      <c r="X76" s="9">
        <v>0</v>
      </c>
      <c r="Y76" s="9">
        <v>0</v>
      </c>
      <c r="Z76" s="9">
        <v>0</v>
      </c>
      <c r="AA76" s="9">
        <v>31</v>
      </c>
      <c r="AB76" s="9">
        <v>18</v>
      </c>
      <c r="AC76" s="9">
        <v>14</v>
      </c>
      <c r="AD76" s="9" t="s">
        <v>0</v>
      </c>
      <c r="AE76" s="9" t="s">
        <v>60</v>
      </c>
    </row>
    <row r="77" spans="1:31" ht="114.75" x14ac:dyDescent="0.2">
      <c r="A77" s="8" t="str">
        <f>HYPERLINK("http://www.patentics.cn/invokexml.do?sx=showpatent_cn&amp;sf=ShowPatent&amp;spn=US9520972&amp;sx=showpatent_cn&amp;sv=7e3bad9db122bf1debe71ba2ca3526b0","US9520972")</f>
        <v>US9520972</v>
      </c>
      <c r="B77" s="9" t="s">
        <v>284</v>
      </c>
      <c r="C77" s="9" t="s">
        <v>199</v>
      </c>
      <c r="D77" s="9" t="s">
        <v>48</v>
      </c>
      <c r="E77" s="9" t="s">
        <v>49</v>
      </c>
      <c r="F77" s="9" t="s">
        <v>200</v>
      </c>
      <c r="G77" s="9" t="s">
        <v>86</v>
      </c>
      <c r="H77" s="9" t="s">
        <v>201</v>
      </c>
      <c r="I77" s="9" t="s">
        <v>201</v>
      </c>
      <c r="J77" s="9" t="s">
        <v>285</v>
      </c>
      <c r="K77" s="9" t="s">
        <v>286</v>
      </c>
      <c r="L77" s="9" t="s">
        <v>287</v>
      </c>
      <c r="M77" s="9">
        <v>29</v>
      </c>
      <c r="N77" s="9">
        <v>20</v>
      </c>
      <c r="O77" s="9" t="s">
        <v>57</v>
      </c>
      <c r="P77" s="9" t="s">
        <v>58</v>
      </c>
      <c r="Q77" s="9">
        <v>1122</v>
      </c>
      <c r="R77" s="9">
        <v>251</v>
      </c>
      <c r="S77" s="9">
        <v>871</v>
      </c>
      <c r="T77" s="9">
        <v>195</v>
      </c>
      <c r="U77" s="9">
        <v>0</v>
      </c>
      <c r="V77" s="9" t="s">
        <v>114</v>
      </c>
      <c r="W77" s="9">
        <v>0</v>
      </c>
      <c r="X77" s="9">
        <v>0</v>
      </c>
      <c r="Y77" s="9">
        <v>0</v>
      </c>
      <c r="Z77" s="9">
        <v>0</v>
      </c>
      <c r="AA77" s="9">
        <v>44</v>
      </c>
      <c r="AB77" s="9">
        <v>16</v>
      </c>
      <c r="AC77" s="9">
        <v>14</v>
      </c>
      <c r="AD77" s="9" t="s">
        <v>0</v>
      </c>
      <c r="AE77" s="9" t="s">
        <v>60</v>
      </c>
    </row>
    <row r="78" spans="1:31" ht="114.75" x14ac:dyDescent="0.2">
      <c r="A78" s="8" t="str">
        <f>HYPERLINK("http://www.patentics.cn/invokexml.do?sx=showpatent_cn&amp;sf=ShowPatent&amp;spn=US9660776&amp;sx=showpatent_cn&amp;sv=c8169a11685518c796628329ae01414f","US9660776")</f>
        <v>US9660776</v>
      </c>
      <c r="B78" s="9" t="s">
        <v>288</v>
      </c>
      <c r="C78" s="9" t="s">
        <v>289</v>
      </c>
      <c r="D78" s="9" t="s">
        <v>48</v>
      </c>
      <c r="E78" s="9" t="s">
        <v>49</v>
      </c>
      <c r="F78" s="9" t="s">
        <v>290</v>
      </c>
      <c r="G78" s="9" t="s">
        <v>291</v>
      </c>
      <c r="H78" s="9" t="s">
        <v>175</v>
      </c>
      <c r="I78" s="9" t="s">
        <v>292</v>
      </c>
      <c r="J78" s="9" t="s">
        <v>293</v>
      </c>
      <c r="K78" s="9" t="s">
        <v>89</v>
      </c>
      <c r="L78" s="9" t="s">
        <v>294</v>
      </c>
      <c r="M78" s="9">
        <v>27</v>
      </c>
      <c r="N78" s="9">
        <v>9</v>
      </c>
      <c r="O78" s="9" t="s">
        <v>57</v>
      </c>
      <c r="P78" s="9" t="s">
        <v>58</v>
      </c>
      <c r="Q78" s="9">
        <v>1129</v>
      </c>
      <c r="R78" s="9">
        <v>274</v>
      </c>
      <c r="S78" s="9">
        <v>855</v>
      </c>
      <c r="T78" s="9">
        <v>193</v>
      </c>
      <c r="U78" s="9">
        <v>0</v>
      </c>
      <c r="V78" s="9" t="s">
        <v>114</v>
      </c>
      <c r="W78" s="9">
        <v>0</v>
      </c>
      <c r="X78" s="9">
        <v>0</v>
      </c>
      <c r="Y78" s="9">
        <v>0</v>
      </c>
      <c r="Z78" s="9">
        <v>0</v>
      </c>
      <c r="AA78" s="9">
        <v>53</v>
      </c>
      <c r="AB78" s="9">
        <v>17</v>
      </c>
      <c r="AC78" s="9">
        <v>14</v>
      </c>
      <c r="AD78" s="9" t="s">
        <v>0</v>
      </c>
      <c r="AE78" s="9" t="s">
        <v>60</v>
      </c>
    </row>
    <row r="79" spans="1:31" ht="76.5" x14ac:dyDescent="0.2">
      <c r="A79" s="8" t="str">
        <f>HYPERLINK("http://www.patentics.cn/invokexml.do?sx=showpatent_cn&amp;sf=ShowPatent&amp;spn=US9693339&amp;sx=showpatent_cn&amp;sv=d4ed079a1eb169e7db2f0e466dc0bb64","US9693339")</f>
        <v>US9693339</v>
      </c>
      <c r="B79" s="9" t="s">
        <v>295</v>
      </c>
      <c r="C79" s="9" t="s">
        <v>162</v>
      </c>
      <c r="D79" s="9" t="s">
        <v>48</v>
      </c>
      <c r="E79" s="9" t="s">
        <v>49</v>
      </c>
      <c r="F79" s="9" t="s">
        <v>296</v>
      </c>
      <c r="G79" s="9" t="s">
        <v>164</v>
      </c>
      <c r="H79" s="9" t="s">
        <v>165</v>
      </c>
      <c r="I79" s="9" t="s">
        <v>297</v>
      </c>
      <c r="J79" s="9" t="s">
        <v>298</v>
      </c>
      <c r="K79" s="9" t="s">
        <v>55</v>
      </c>
      <c r="L79" s="9" t="s">
        <v>206</v>
      </c>
      <c r="M79" s="9">
        <v>20</v>
      </c>
      <c r="N79" s="9">
        <v>14</v>
      </c>
      <c r="O79" s="9" t="s">
        <v>57</v>
      </c>
      <c r="P79" s="9" t="s">
        <v>58</v>
      </c>
      <c r="Q79" s="9">
        <v>1082</v>
      </c>
      <c r="R79" s="9">
        <v>278</v>
      </c>
      <c r="S79" s="9">
        <v>804</v>
      </c>
      <c r="T79" s="9">
        <v>194</v>
      </c>
      <c r="U79" s="9">
        <v>0</v>
      </c>
      <c r="V79" s="9" t="s">
        <v>114</v>
      </c>
      <c r="W79" s="9">
        <v>0</v>
      </c>
      <c r="X79" s="9">
        <v>0</v>
      </c>
      <c r="Y79" s="9">
        <v>0</v>
      </c>
      <c r="Z79" s="9">
        <v>0</v>
      </c>
      <c r="AA79" s="9">
        <v>19</v>
      </c>
      <c r="AB79" s="9">
        <v>10</v>
      </c>
      <c r="AC79" s="9">
        <v>14</v>
      </c>
      <c r="AD79" s="9" t="s">
        <v>0</v>
      </c>
      <c r="AE79" s="9" t="s">
        <v>60</v>
      </c>
    </row>
    <row r="80" spans="1:31" ht="76.5" x14ac:dyDescent="0.2">
      <c r="A80" s="8" t="str">
        <f>HYPERLINK("http://www.patentics.cn/invokexml.do?sx=showpatent_cn&amp;sf=ShowPatent&amp;spn=CN102523083B&amp;sx=showpatent_cn&amp;sv=7e310801067636bd3c866a56ae4e54f8","CN102523083B")</f>
        <v>CN102523083B</v>
      </c>
      <c r="B80" s="9" t="s">
        <v>322</v>
      </c>
      <c r="C80" s="9" t="s">
        <v>323</v>
      </c>
      <c r="D80" s="9" t="s">
        <v>301</v>
      </c>
      <c r="E80" s="9" t="s">
        <v>301</v>
      </c>
      <c r="F80" s="9" t="s">
        <v>324</v>
      </c>
      <c r="G80" s="9" t="s">
        <v>303</v>
      </c>
      <c r="H80" s="9" t="s">
        <v>119</v>
      </c>
      <c r="I80" s="9" t="s">
        <v>325</v>
      </c>
      <c r="J80" s="9" t="s">
        <v>326</v>
      </c>
      <c r="K80" s="9" t="s">
        <v>68</v>
      </c>
      <c r="L80" s="9" t="s">
        <v>327</v>
      </c>
      <c r="M80" s="9">
        <v>12</v>
      </c>
      <c r="N80" s="9">
        <v>15</v>
      </c>
      <c r="O80" s="9" t="s">
        <v>57</v>
      </c>
      <c r="P80" s="9" t="s">
        <v>58</v>
      </c>
      <c r="Q80" s="9">
        <v>4</v>
      </c>
      <c r="R80" s="9">
        <v>1</v>
      </c>
      <c r="S80" s="9">
        <v>3</v>
      </c>
      <c r="T80" s="9">
        <v>4</v>
      </c>
      <c r="U80" s="9">
        <v>0</v>
      </c>
      <c r="V80" s="9" t="s">
        <v>114</v>
      </c>
      <c r="W80" s="9">
        <v>0</v>
      </c>
      <c r="X80" s="9">
        <v>0</v>
      </c>
      <c r="Y80" s="9">
        <v>0</v>
      </c>
      <c r="Z80" s="9">
        <v>0</v>
      </c>
      <c r="AA80" s="9">
        <v>44</v>
      </c>
      <c r="AB80" s="9">
        <v>19</v>
      </c>
      <c r="AC80" s="9">
        <v>14</v>
      </c>
      <c r="AD80" s="9" t="s">
        <v>0</v>
      </c>
      <c r="AE80" s="9" t="s">
        <v>60</v>
      </c>
    </row>
    <row r="81" spans="1:31" ht="76.5" x14ac:dyDescent="0.2">
      <c r="A81" s="8" t="str">
        <f>HYPERLINK("http://www.patentics.cn/invokexml.do?sx=showpatent_cn&amp;sf=ShowPatent&amp;spn=CN102523082B&amp;sx=showpatent_cn&amp;sv=fc14fc3bc536e5d62d3480742e20181c","CN102523082B")</f>
        <v>CN102523082B</v>
      </c>
      <c r="B81" s="9" t="s">
        <v>328</v>
      </c>
      <c r="C81" s="9" t="s">
        <v>329</v>
      </c>
      <c r="D81" s="9" t="s">
        <v>301</v>
      </c>
      <c r="E81" s="9" t="s">
        <v>301</v>
      </c>
      <c r="F81" s="9" t="s">
        <v>324</v>
      </c>
      <c r="G81" s="9" t="s">
        <v>303</v>
      </c>
      <c r="H81" s="9" t="s">
        <v>119</v>
      </c>
      <c r="I81" s="9" t="s">
        <v>325</v>
      </c>
      <c r="J81" s="9" t="s">
        <v>330</v>
      </c>
      <c r="K81" s="9" t="s">
        <v>68</v>
      </c>
      <c r="L81" s="9" t="s">
        <v>327</v>
      </c>
      <c r="M81" s="9">
        <v>22</v>
      </c>
      <c r="N81" s="9">
        <v>14</v>
      </c>
      <c r="O81" s="9" t="s">
        <v>57</v>
      </c>
      <c r="P81" s="9" t="s">
        <v>58</v>
      </c>
      <c r="Q81" s="9">
        <v>4</v>
      </c>
      <c r="R81" s="9">
        <v>1</v>
      </c>
      <c r="S81" s="9">
        <v>3</v>
      </c>
      <c r="T81" s="9">
        <v>4</v>
      </c>
      <c r="U81" s="9">
        <v>0</v>
      </c>
      <c r="V81" s="9" t="s">
        <v>114</v>
      </c>
      <c r="W81" s="9">
        <v>0</v>
      </c>
      <c r="X81" s="9">
        <v>0</v>
      </c>
      <c r="Y81" s="9">
        <v>0</v>
      </c>
      <c r="Z81" s="9">
        <v>0</v>
      </c>
      <c r="AA81" s="9">
        <v>44</v>
      </c>
      <c r="AB81" s="9">
        <v>19</v>
      </c>
      <c r="AC81" s="9">
        <v>14</v>
      </c>
      <c r="AD81" s="9" t="s">
        <v>0</v>
      </c>
      <c r="AE81" s="9" t="s">
        <v>60</v>
      </c>
    </row>
    <row r="82" spans="1:31" ht="38.25" x14ac:dyDescent="0.2">
      <c r="A82" s="6" t="str">
        <f>HYPERLINK("http://www.patentics.cn/invokexml.do?sx=showpatent_cn&amp;sf=ShowPatent&amp;spn=CN1592144&amp;sx=showpatent_cn&amp;sv=50fdbe993674d3e7c687e4bc98b22e10","CN1592144")</f>
        <v>CN1592144</v>
      </c>
      <c r="B82" s="7" t="s">
        <v>331</v>
      </c>
      <c r="C82" s="7" t="s">
        <v>332</v>
      </c>
      <c r="D82" s="7" t="s">
        <v>333</v>
      </c>
      <c r="E82" s="7" t="s">
        <v>334</v>
      </c>
      <c r="F82" s="7" t="s">
        <v>335</v>
      </c>
      <c r="G82" s="7" t="s">
        <v>336</v>
      </c>
      <c r="H82" s="7" t="s">
        <v>337</v>
      </c>
      <c r="I82" s="7" t="s">
        <v>338</v>
      </c>
      <c r="J82" s="7" t="s">
        <v>339</v>
      </c>
      <c r="K82" s="7" t="s">
        <v>89</v>
      </c>
      <c r="L82" s="7" t="s">
        <v>340</v>
      </c>
      <c r="M82" s="7">
        <v>16</v>
      </c>
      <c r="N82" s="7">
        <v>18</v>
      </c>
      <c r="O82" s="7" t="s">
        <v>42</v>
      </c>
      <c r="P82" s="7" t="s">
        <v>341</v>
      </c>
      <c r="Q82" s="7">
        <v>0</v>
      </c>
      <c r="R82" s="7">
        <v>0</v>
      </c>
      <c r="S82" s="7">
        <v>0</v>
      </c>
      <c r="T82" s="7">
        <v>0</v>
      </c>
      <c r="U82" s="7">
        <v>53</v>
      </c>
      <c r="V82" s="7" t="s">
        <v>342</v>
      </c>
      <c r="W82" s="7">
        <v>3</v>
      </c>
      <c r="X82" s="7">
        <v>50</v>
      </c>
      <c r="Y82" s="7">
        <v>16</v>
      </c>
      <c r="Z82" s="7">
        <v>3</v>
      </c>
      <c r="AA82" s="7">
        <v>11</v>
      </c>
      <c r="AB82" s="7">
        <v>6</v>
      </c>
      <c r="AC82" s="7" t="s">
        <v>0</v>
      </c>
      <c r="AD82" s="7">
        <v>15</v>
      </c>
      <c r="AE82" s="7" t="s">
        <v>60</v>
      </c>
    </row>
    <row r="83" spans="1:31" ht="114.75" x14ac:dyDescent="0.2">
      <c r="A83" s="8" t="str">
        <f>HYPERLINK("http://www.patentics.cn/invokexml.do?sx=showpatent_cn&amp;sf=ShowPatent&amp;spn=US8204149&amp;sx=showpatent_cn&amp;sv=5854beb1314c1bf6cc48dfd62c455cb5","US8204149")</f>
        <v>US8204149</v>
      </c>
      <c r="B83" s="9" t="s">
        <v>343</v>
      </c>
      <c r="C83" s="9" t="s">
        <v>344</v>
      </c>
      <c r="D83" s="9" t="s">
        <v>48</v>
      </c>
      <c r="E83" s="9" t="s">
        <v>49</v>
      </c>
      <c r="F83" s="9" t="s">
        <v>345</v>
      </c>
      <c r="G83" s="9" t="s">
        <v>346</v>
      </c>
      <c r="H83" s="9" t="s">
        <v>347</v>
      </c>
      <c r="I83" s="9" t="s">
        <v>348</v>
      </c>
      <c r="J83" s="9" t="s">
        <v>349</v>
      </c>
      <c r="K83" s="9" t="s">
        <v>68</v>
      </c>
      <c r="L83" s="9" t="s">
        <v>281</v>
      </c>
      <c r="M83" s="9">
        <v>37</v>
      </c>
      <c r="N83" s="9">
        <v>13</v>
      </c>
      <c r="O83" s="9" t="s">
        <v>57</v>
      </c>
      <c r="P83" s="9" t="s">
        <v>58</v>
      </c>
      <c r="Q83" s="9">
        <v>210</v>
      </c>
      <c r="R83" s="9">
        <v>51</v>
      </c>
      <c r="S83" s="9">
        <v>159</v>
      </c>
      <c r="T83" s="9">
        <v>60</v>
      </c>
      <c r="U83" s="9">
        <v>14</v>
      </c>
      <c r="V83" s="9" t="s">
        <v>350</v>
      </c>
      <c r="W83" s="9">
        <v>13</v>
      </c>
      <c r="X83" s="9">
        <v>1</v>
      </c>
      <c r="Y83" s="9">
        <v>1</v>
      </c>
      <c r="Z83" s="9">
        <v>3</v>
      </c>
      <c r="AA83" s="9">
        <v>33</v>
      </c>
      <c r="AB83" s="9">
        <v>15</v>
      </c>
      <c r="AC83" s="9">
        <v>14</v>
      </c>
      <c r="AD83" s="9" t="s">
        <v>0</v>
      </c>
      <c r="AE83" s="9" t="s">
        <v>60</v>
      </c>
    </row>
    <row r="84" spans="1:31" ht="76.5" x14ac:dyDescent="0.2">
      <c r="A84" s="8" t="str">
        <f>HYPERLINK("http://www.patentics.cn/invokexml.do?sx=showpatent_cn&amp;sf=ShowPatent&amp;spn=US8285226&amp;sx=showpatent_cn&amp;sv=cb2ff00895a79b2fd8b862260943f210","US8285226")</f>
        <v>US8285226</v>
      </c>
      <c r="B84" s="9" t="s">
        <v>351</v>
      </c>
      <c r="C84" s="9" t="s">
        <v>352</v>
      </c>
      <c r="D84" s="9" t="s">
        <v>117</v>
      </c>
      <c r="E84" s="9" t="s">
        <v>49</v>
      </c>
      <c r="F84" s="9" t="s">
        <v>353</v>
      </c>
      <c r="G84" s="9" t="s">
        <v>354</v>
      </c>
      <c r="H84" s="9" t="s">
        <v>355</v>
      </c>
      <c r="I84" s="9" t="s">
        <v>356</v>
      </c>
      <c r="J84" s="9" t="s">
        <v>357</v>
      </c>
      <c r="K84" s="9" t="s">
        <v>358</v>
      </c>
      <c r="L84" s="9" t="s">
        <v>359</v>
      </c>
      <c r="M84" s="9">
        <v>30</v>
      </c>
      <c r="N84" s="9">
        <v>13</v>
      </c>
      <c r="O84" s="9" t="s">
        <v>57</v>
      </c>
      <c r="P84" s="9" t="s">
        <v>58</v>
      </c>
      <c r="Q84" s="9">
        <v>226</v>
      </c>
      <c r="R84" s="9">
        <v>57</v>
      </c>
      <c r="S84" s="9">
        <v>169</v>
      </c>
      <c r="T84" s="9">
        <v>62</v>
      </c>
      <c r="U84" s="9">
        <v>8</v>
      </c>
      <c r="V84" s="9" t="s">
        <v>360</v>
      </c>
      <c r="W84" s="9">
        <v>5</v>
      </c>
      <c r="X84" s="9">
        <v>3</v>
      </c>
      <c r="Y84" s="9">
        <v>4</v>
      </c>
      <c r="Z84" s="9">
        <v>1</v>
      </c>
      <c r="AA84" s="9">
        <v>51</v>
      </c>
      <c r="AB84" s="9">
        <v>13</v>
      </c>
      <c r="AC84" s="9">
        <v>14</v>
      </c>
      <c r="AD84" s="9" t="s">
        <v>0</v>
      </c>
      <c r="AE84" s="9" t="s">
        <v>60</v>
      </c>
    </row>
    <row r="85" spans="1:31" ht="102" x14ac:dyDescent="0.2">
      <c r="A85" s="8" t="str">
        <f>HYPERLINK("http://www.patentics.cn/invokexml.do?sx=showpatent_cn&amp;sf=ShowPatent&amp;spn=US8290089&amp;sx=showpatent_cn&amp;sv=cdbafe4184da362546fd5f90f1c85395","US8290089")</f>
        <v>US8290089</v>
      </c>
      <c r="B85" s="9" t="s">
        <v>361</v>
      </c>
      <c r="C85" s="9" t="s">
        <v>362</v>
      </c>
      <c r="D85" s="9" t="s">
        <v>117</v>
      </c>
      <c r="E85" s="9" t="s">
        <v>49</v>
      </c>
      <c r="F85" s="9" t="s">
        <v>363</v>
      </c>
      <c r="G85" s="9" t="s">
        <v>364</v>
      </c>
      <c r="H85" s="9" t="s">
        <v>365</v>
      </c>
      <c r="I85" s="9" t="s">
        <v>366</v>
      </c>
      <c r="J85" s="9" t="s">
        <v>367</v>
      </c>
      <c r="K85" s="9" t="s">
        <v>368</v>
      </c>
      <c r="L85" s="9" t="s">
        <v>369</v>
      </c>
      <c r="M85" s="9">
        <v>20</v>
      </c>
      <c r="N85" s="9">
        <v>23</v>
      </c>
      <c r="O85" s="9" t="s">
        <v>57</v>
      </c>
      <c r="P85" s="9" t="s">
        <v>58</v>
      </c>
      <c r="Q85" s="9">
        <v>230</v>
      </c>
      <c r="R85" s="9">
        <v>69</v>
      </c>
      <c r="S85" s="9">
        <v>161</v>
      </c>
      <c r="T85" s="9">
        <v>65</v>
      </c>
      <c r="U85" s="9">
        <v>9</v>
      </c>
      <c r="V85" s="9" t="s">
        <v>370</v>
      </c>
      <c r="W85" s="9">
        <v>7</v>
      </c>
      <c r="X85" s="9">
        <v>2</v>
      </c>
      <c r="Y85" s="9">
        <v>3</v>
      </c>
      <c r="Z85" s="9">
        <v>1</v>
      </c>
      <c r="AA85" s="9">
        <v>15</v>
      </c>
      <c r="AB85" s="9">
        <v>9</v>
      </c>
      <c r="AC85" s="9">
        <v>14</v>
      </c>
      <c r="AD85" s="9" t="s">
        <v>0</v>
      </c>
      <c r="AE85" s="9" t="s">
        <v>60</v>
      </c>
    </row>
    <row r="86" spans="1:31" ht="89.25" x14ac:dyDescent="0.2">
      <c r="A86" s="8" t="str">
        <f>HYPERLINK("http://www.patentics.cn/invokexml.do?sx=showpatent_cn&amp;sf=ShowPatent&amp;spn=US8325844&amp;sx=showpatent_cn&amp;sv=a278c235f91b22d97581315c8e995f24","US8325844")</f>
        <v>US8325844</v>
      </c>
      <c r="B86" s="9" t="s">
        <v>371</v>
      </c>
      <c r="C86" s="9" t="s">
        <v>372</v>
      </c>
      <c r="D86" s="9" t="s">
        <v>117</v>
      </c>
      <c r="E86" s="9" t="s">
        <v>49</v>
      </c>
      <c r="F86" s="9" t="s">
        <v>373</v>
      </c>
      <c r="G86" s="9" t="s">
        <v>346</v>
      </c>
      <c r="H86" s="9" t="s">
        <v>348</v>
      </c>
      <c r="I86" s="9" t="s">
        <v>374</v>
      </c>
      <c r="J86" s="9" t="s">
        <v>375</v>
      </c>
      <c r="K86" s="9" t="s">
        <v>89</v>
      </c>
      <c r="L86" s="9" t="s">
        <v>104</v>
      </c>
      <c r="M86" s="9">
        <v>13</v>
      </c>
      <c r="N86" s="9">
        <v>25</v>
      </c>
      <c r="O86" s="9" t="s">
        <v>57</v>
      </c>
      <c r="P86" s="9" t="s">
        <v>58</v>
      </c>
      <c r="Q86" s="9">
        <v>233</v>
      </c>
      <c r="R86" s="9">
        <v>64</v>
      </c>
      <c r="S86" s="9">
        <v>169</v>
      </c>
      <c r="T86" s="9">
        <v>68</v>
      </c>
      <c r="U86" s="9">
        <v>35</v>
      </c>
      <c r="V86" s="9" t="s">
        <v>376</v>
      </c>
      <c r="W86" s="9">
        <v>8</v>
      </c>
      <c r="X86" s="9">
        <v>27</v>
      </c>
      <c r="Y86" s="9">
        <v>5</v>
      </c>
      <c r="Z86" s="9">
        <v>1</v>
      </c>
      <c r="AA86" s="9">
        <v>5</v>
      </c>
      <c r="AB86" s="9">
        <v>1</v>
      </c>
      <c r="AC86" s="9">
        <v>14</v>
      </c>
      <c r="AD86" s="9" t="s">
        <v>0</v>
      </c>
      <c r="AE86" s="9" t="s">
        <v>60</v>
      </c>
    </row>
    <row r="87" spans="1:31" ht="127.5" x14ac:dyDescent="0.2">
      <c r="A87" s="8" t="str">
        <f>HYPERLINK("http://www.patentics.cn/invokexml.do?sx=showpatent_cn&amp;sf=ShowPatent&amp;spn=US8520498&amp;sx=showpatent_cn&amp;sv=f6fe39e34285993d9841cc2a96a0b033","US8520498")</f>
        <v>US8520498</v>
      </c>
      <c r="B87" s="9" t="s">
        <v>377</v>
      </c>
      <c r="C87" s="9" t="s">
        <v>378</v>
      </c>
      <c r="D87" s="9" t="s">
        <v>48</v>
      </c>
      <c r="E87" s="9" t="s">
        <v>49</v>
      </c>
      <c r="F87" s="9" t="s">
        <v>379</v>
      </c>
      <c r="G87" s="9" t="s">
        <v>346</v>
      </c>
      <c r="H87" s="9" t="s">
        <v>380</v>
      </c>
      <c r="I87" s="9" t="s">
        <v>381</v>
      </c>
      <c r="J87" s="9" t="s">
        <v>382</v>
      </c>
      <c r="K87" s="9" t="s">
        <v>40</v>
      </c>
      <c r="L87" s="9" t="s">
        <v>383</v>
      </c>
      <c r="M87" s="9">
        <v>28</v>
      </c>
      <c r="N87" s="9">
        <v>14</v>
      </c>
      <c r="O87" s="9" t="s">
        <v>57</v>
      </c>
      <c r="P87" s="9" t="s">
        <v>58</v>
      </c>
      <c r="Q87" s="9">
        <v>226</v>
      </c>
      <c r="R87" s="9">
        <v>57</v>
      </c>
      <c r="S87" s="9">
        <v>169</v>
      </c>
      <c r="T87" s="9">
        <v>66</v>
      </c>
      <c r="U87" s="9">
        <v>6</v>
      </c>
      <c r="V87" s="9" t="s">
        <v>384</v>
      </c>
      <c r="W87" s="9">
        <v>1</v>
      </c>
      <c r="X87" s="9">
        <v>5</v>
      </c>
      <c r="Y87" s="9">
        <v>4</v>
      </c>
      <c r="Z87" s="9">
        <v>1</v>
      </c>
      <c r="AA87" s="9">
        <v>23</v>
      </c>
      <c r="AB87" s="9">
        <v>13</v>
      </c>
      <c r="AC87" s="9">
        <v>14</v>
      </c>
      <c r="AD87" s="9" t="s">
        <v>0</v>
      </c>
      <c r="AE87" s="9" t="s">
        <v>60</v>
      </c>
    </row>
    <row r="88" spans="1:31" ht="102" x14ac:dyDescent="0.2">
      <c r="A88" s="8" t="str">
        <f>HYPERLINK("http://www.patentics.cn/invokexml.do?sx=showpatent_cn&amp;sf=ShowPatent&amp;spn=US8543070&amp;sx=showpatent_cn&amp;sv=708bfe47c1e78ff30e27a9e1070f4059","US8543070")</f>
        <v>US8543070</v>
      </c>
      <c r="B88" s="9" t="s">
        <v>385</v>
      </c>
      <c r="C88" s="9" t="s">
        <v>386</v>
      </c>
      <c r="D88" s="9" t="s">
        <v>48</v>
      </c>
      <c r="E88" s="9" t="s">
        <v>49</v>
      </c>
      <c r="F88" s="9" t="s">
        <v>387</v>
      </c>
      <c r="G88" s="9" t="s">
        <v>364</v>
      </c>
      <c r="H88" s="9" t="s">
        <v>388</v>
      </c>
      <c r="I88" s="9" t="s">
        <v>389</v>
      </c>
      <c r="J88" s="9" t="s">
        <v>390</v>
      </c>
      <c r="K88" s="9" t="s">
        <v>358</v>
      </c>
      <c r="L88" s="9" t="s">
        <v>359</v>
      </c>
      <c r="M88" s="9">
        <v>14</v>
      </c>
      <c r="N88" s="9">
        <v>10</v>
      </c>
      <c r="O88" s="9" t="s">
        <v>57</v>
      </c>
      <c r="P88" s="9" t="s">
        <v>58</v>
      </c>
      <c r="Q88" s="9">
        <v>244</v>
      </c>
      <c r="R88" s="9">
        <v>69</v>
      </c>
      <c r="S88" s="9">
        <v>175</v>
      </c>
      <c r="T88" s="9">
        <v>71</v>
      </c>
      <c r="U88" s="9">
        <v>5</v>
      </c>
      <c r="V88" s="9" t="s">
        <v>391</v>
      </c>
      <c r="W88" s="9">
        <v>2</v>
      </c>
      <c r="X88" s="9">
        <v>3</v>
      </c>
      <c r="Y88" s="9">
        <v>4</v>
      </c>
      <c r="Z88" s="9">
        <v>1</v>
      </c>
      <c r="AA88" s="9">
        <v>17</v>
      </c>
      <c r="AB88" s="9">
        <v>10</v>
      </c>
      <c r="AC88" s="9">
        <v>14</v>
      </c>
      <c r="AD88" s="9" t="s">
        <v>0</v>
      </c>
      <c r="AE88" s="9" t="s">
        <v>60</v>
      </c>
    </row>
    <row r="89" spans="1:31" ht="89.25" x14ac:dyDescent="0.2">
      <c r="A89" s="8" t="str">
        <f>HYPERLINK("http://www.patentics.cn/invokexml.do?sx=showpatent_cn&amp;sf=ShowPatent&amp;spn=US8767701&amp;sx=showpatent_cn&amp;sv=0c81009722236fb195e0706595cb3782","US8767701")</f>
        <v>US8767701</v>
      </c>
      <c r="B89" s="9" t="s">
        <v>392</v>
      </c>
      <c r="C89" s="9" t="s">
        <v>393</v>
      </c>
      <c r="D89" s="9" t="s">
        <v>48</v>
      </c>
      <c r="E89" s="9" t="s">
        <v>49</v>
      </c>
      <c r="F89" s="9" t="s">
        <v>394</v>
      </c>
      <c r="G89" s="9" t="s">
        <v>364</v>
      </c>
      <c r="H89" s="9" t="s">
        <v>395</v>
      </c>
      <c r="I89" s="9" t="s">
        <v>396</v>
      </c>
      <c r="J89" s="9" t="s">
        <v>397</v>
      </c>
      <c r="K89" s="9" t="s">
        <v>89</v>
      </c>
      <c r="L89" s="9" t="s">
        <v>104</v>
      </c>
      <c r="M89" s="9">
        <v>31</v>
      </c>
      <c r="N89" s="9">
        <v>15</v>
      </c>
      <c r="O89" s="9" t="s">
        <v>57</v>
      </c>
      <c r="P89" s="9" t="s">
        <v>58</v>
      </c>
      <c r="Q89" s="9">
        <v>280</v>
      </c>
      <c r="R89" s="9">
        <v>78</v>
      </c>
      <c r="S89" s="9">
        <v>202</v>
      </c>
      <c r="T89" s="9">
        <v>73</v>
      </c>
      <c r="U89" s="9">
        <v>2</v>
      </c>
      <c r="V89" s="9" t="s">
        <v>70</v>
      </c>
      <c r="W89" s="9">
        <v>1</v>
      </c>
      <c r="X89" s="9">
        <v>1</v>
      </c>
      <c r="Y89" s="9">
        <v>2</v>
      </c>
      <c r="Z89" s="9">
        <v>1</v>
      </c>
      <c r="AA89" s="9">
        <v>6</v>
      </c>
      <c r="AB89" s="9">
        <v>4</v>
      </c>
      <c r="AC89" s="9">
        <v>14</v>
      </c>
      <c r="AD89" s="9" t="s">
        <v>0</v>
      </c>
      <c r="AE89" s="9" t="s">
        <v>60</v>
      </c>
    </row>
    <row r="90" spans="1:31" ht="102" x14ac:dyDescent="0.2">
      <c r="A90" s="8" t="str">
        <f>HYPERLINK("http://www.patentics.cn/invokexml.do?sx=showpatent_cn&amp;sf=ShowPatent&amp;spn=US8824583&amp;sx=showpatent_cn&amp;sv=3eca5a66f002d7b7df9665b565f4b8b9","US8824583")</f>
        <v>US8824583</v>
      </c>
      <c r="B90" s="9" t="s">
        <v>398</v>
      </c>
      <c r="C90" s="9" t="s">
        <v>386</v>
      </c>
      <c r="D90" s="9" t="s">
        <v>48</v>
      </c>
      <c r="E90" s="9" t="s">
        <v>49</v>
      </c>
      <c r="F90" s="9" t="s">
        <v>387</v>
      </c>
      <c r="G90" s="9" t="s">
        <v>364</v>
      </c>
      <c r="H90" s="9" t="s">
        <v>388</v>
      </c>
      <c r="I90" s="9" t="s">
        <v>399</v>
      </c>
      <c r="J90" s="9" t="s">
        <v>400</v>
      </c>
      <c r="K90" s="9" t="s">
        <v>68</v>
      </c>
      <c r="L90" s="9" t="s">
        <v>69</v>
      </c>
      <c r="M90" s="9">
        <v>23</v>
      </c>
      <c r="N90" s="9">
        <v>13</v>
      </c>
      <c r="O90" s="9" t="s">
        <v>57</v>
      </c>
      <c r="P90" s="9" t="s">
        <v>58</v>
      </c>
      <c r="Q90" s="9">
        <v>326</v>
      </c>
      <c r="R90" s="9">
        <v>104</v>
      </c>
      <c r="S90" s="9">
        <v>222</v>
      </c>
      <c r="T90" s="9">
        <v>72</v>
      </c>
      <c r="U90" s="9">
        <v>2</v>
      </c>
      <c r="V90" s="9" t="s">
        <v>114</v>
      </c>
      <c r="W90" s="9">
        <v>1</v>
      </c>
      <c r="X90" s="9">
        <v>1</v>
      </c>
      <c r="Y90" s="9">
        <v>2</v>
      </c>
      <c r="Z90" s="9">
        <v>1</v>
      </c>
      <c r="AA90" s="9">
        <v>17</v>
      </c>
      <c r="AB90" s="9">
        <v>10</v>
      </c>
      <c r="AC90" s="9">
        <v>14</v>
      </c>
      <c r="AD90" s="9" t="s">
        <v>0</v>
      </c>
      <c r="AE90" s="9" t="s">
        <v>60</v>
      </c>
    </row>
    <row r="91" spans="1:31" ht="114.75" x14ac:dyDescent="0.2">
      <c r="A91" s="8" t="str">
        <f>HYPERLINK("http://www.patentics.cn/invokexml.do?sx=showpatent_cn&amp;sf=ShowPatent&amp;spn=US8903016&amp;sx=showpatent_cn&amp;sv=364d81d3fce1933985258b62792429a2","US8903016")</f>
        <v>US8903016</v>
      </c>
      <c r="B91" s="9" t="s">
        <v>401</v>
      </c>
      <c r="C91" s="9" t="s">
        <v>344</v>
      </c>
      <c r="D91" s="9" t="s">
        <v>48</v>
      </c>
      <c r="E91" s="9" t="s">
        <v>49</v>
      </c>
      <c r="F91" s="9" t="s">
        <v>345</v>
      </c>
      <c r="G91" s="9" t="s">
        <v>346</v>
      </c>
      <c r="H91" s="9" t="s">
        <v>347</v>
      </c>
      <c r="I91" s="9" t="s">
        <v>402</v>
      </c>
      <c r="J91" s="9" t="s">
        <v>403</v>
      </c>
      <c r="K91" s="9" t="s">
        <v>68</v>
      </c>
      <c r="L91" s="9" t="s">
        <v>281</v>
      </c>
      <c r="M91" s="9">
        <v>6</v>
      </c>
      <c r="N91" s="9">
        <v>14</v>
      </c>
      <c r="O91" s="9" t="s">
        <v>57</v>
      </c>
      <c r="P91" s="9" t="s">
        <v>58</v>
      </c>
      <c r="Q91" s="9">
        <v>243</v>
      </c>
      <c r="R91" s="9">
        <v>60</v>
      </c>
      <c r="S91" s="9">
        <v>183</v>
      </c>
      <c r="T91" s="9">
        <v>68</v>
      </c>
      <c r="U91" s="9">
        <v>1</v>
      </c>
      <c r="V91" s="9" t="s">
        <v>114</v>
      </c>
      <c r="W91" s="9">
        <v>1</v>
      </c>
      <c r="X91" s="9">
        <v>0</v>
      </c>
      <c r="Y91" s="9">
        <v>1</v>
      </c>
      <c r="Z91" s="9">
        <v>1</v>
      </c>
      <c r="AA91" s="9">
        <v>33</v>
      </c>
      <c r="AB91" s="9">
        <v>15</v>
      </c>
      <c r="AC91" s="9">
        <v>14</v>
      </c>
      <c r="AD91" s="9" t="s">
        <v>0</v>
      </c>
      <c r="AE91" s="9" t="s">
        <v>60</v>
      </c>
    </row>
    <row r="92" spans="1:31" ht="89.25" x14ac:dyDescent="0.2">
      <c r="A92" s="8" t="str">
        <f>HYPERLINK("http://www.patentics.cn/invokexml.do?sx=showpatent_cn&amp;sf=ShowPatent&amp;spn=US8909174&amp;sx=showpatent_cn&amp;sv=6d7d96dbf2d0aca974c910b8e2fc81b0","US8909174")</f>
        <v>US8909174</v>
      </c>
      <c r="B92" s="9" t="s">
        <v>404</v>
      </c>
      <c r="C92" s="9" t="s">
        <v>405</v>
      </c>
      <c r="D92" s="9" t="s">
        <v>48</v>
      </c>
      <c r="E92" s="9" t="s">
        <v>49</v>
      </c>
      <c r="F92" s="9" t="s">
        <v>394</v>
      </c>
      <c r="G92" s="9" t="s">
        <v>364</v>
      </c>
      <c r="H92" s="9" t="s">
        <v>355</v>
      </c>
      <c r="I92" s="9" t="s">
        <v>406</v>
      </c>
      <c r="J92" s="9" t="s">
        <v>407</v>
      </c>
      <c r="K92" s="9" t="s">
        <v>89</v>
      </c>
      <c r="L92" s="9" t="s">
        <v>104</v>
      </c>
      <c r="M92" s="9">
        <v>40</v>
      </c>
      <c r="N92" s="9">
        <v>15</v>
      </c>
      <c r="O92" s="9" t="s">
        <v>57</v>
      </c>
      <c r="P92" s="9" t="s">
        <v>58</v>
      </c>
      <c r="Q92" s="9">
        <v>281</v>
      </c>
      <c r="R92" s="9">
        <v>77</v>
      </c>
      <c r="S92" s="9">
        <v>204</v>
      </c>
      <c r="T92" s="9">
        <v>73</v>
      </c>
      <c r="U92" s="9">
        <v>2</v>
      </c>
      <c r="V92" s="9" t="s">
        <v>408</v>
      </c>
      <c r="W92" s="9">
        <v>0</v>
      </c>
      <c r="X92" s="9">
        <v>2</v>
      </c>
      <c r="Y92" s="9">
        <v>2</v>
      </c>
      <c r="Z92" s="9">
        <v>1</v>
      </c>
      <c r="AA92" s="9">
        <v>51</v>
      </c>
      <c r="AB92" s="9">
        <v>13</v>
      </c>
      <c r="AC92" s="9">
        <v>14</v>
      </c>
      <c r="AD92" s="9" t="s">
        <v>0</v>
      </c>
      <c r="AE92" s="9" t="s">
        <v>60</v>
      </c>
    </row>
    <row r="93" spans="1:31" ht="89.25" x14ac:dyDescent="0.2">
      <c r="A93" s="8" t="str">
        <f>HYPERLINK("http://www.patentics.cn/invokexml.do?sx=showpatent_cn&amp;sf=ShowPatent&amp;spn=US8923785&amp;sx=showpatent_cn&amp;sv=6f8dd80454707709a527a12a61bd71f2","US8923785")</f>
        <v>US8923785</v>
      </c>
      <c r="B93" s="9" t="s">
        <v>409</v>
      </c>
      <c r="C93" s="9" t="s">
        <v>405</v>
      </c>
      <c r="D93" s="9" t="s">
        <v>48</v>
      </c>
      <c r="E93" s="9" t="s">
        <v>49</v>
      </c>
      <c r="F93" s="9" t="s">
        <v>394</v>
      </c>
      <c r="G93" s="9" t="s">
        <v>364</v>
      </c>
      <c r="H93" s="9" t="s">
        <v>355</v>
      </c>
      <c r="I93" s="9" t="s">
        <v>410</v>
      </c>
      <c r="J93" s="9" t="s">
        <v>411</v>
      </c>
      <c r="K93" s="9" t="s">
        <v>89</v>
      </c>
      <c r="L93" s="9" t="s">
        <v>104</v>
      </c>
      <c r="M93" s="9">
        <v>72</v>
      </c>
      <c r="N93" s="9">
        <v>10</v>
      </c>
      <c r="O93" s="9" t="s">
        <v>57</v>
      </c>
      <c r="P93" s="9" t="s">
        <v>58</v>
      </c>
      <c r="Q93" s="9">
        <v>285</v>
      </c>
      <c r="R93" s="9">
        <v>83</v>
      </c>
      <c r="S93" s="9">
        <v>202</v>
      </c>
      <c r="T93" s="9">
        <v>74</v>
      </c>
      <c r="U93" s="9">
        <v>1</v>
      </c>
      <c r="V93" s="9" t="s">
        <v>82</v>
      </c>
      <c r="W93" s="9">
        <v>0</v>
      </c>
      <c r="X93" s="9">
        <v>1</v>
      </c>
      <c r="Y93" s="9">
        <v>1</v>
      </c>
      <c r="Z93" s="9">
        <v>1</v>
      </c>
      <c r="AA93" s="9">
        <v>51</v>
      </c>
      <c r="AB93" s="9">
        <v>13</v>
      </c>
      <c r="AC93" s="9">
        <v>14</v>
      </c>
      <c r="AD93" s="9" t="s">
        <v>0</v>
      </c>
      <c r="AE93" s="9" t="s">
        <v>60</v>
      </c>
    </row>
    <row r="94" spans="1:31" ht="114.75" x14ac:dyDescent="0.2">
      <c r="A94" s="8" t="str">
        <f>HYPERLINK("http://www.patentics.cn/invokexml.do?sx=showpatent_cn&amp;sf=ShowPatent&amp;spn=US9787375&amp;sx=showpatent_cn&amp;sv=99520f4594aa399c1ce23d248f06f676","US9787375")</f>
        <v>US9787375</v>
      </c>
      <c r="B94" s="9" t="s">
        <v>412</v>
      </c>
      <c r="C94" s="9" t="s">
        <v>344</v>
      </c>
      <c r="D94" s="9" t="s">
        <v>48</v>
      </c>
      <c r="E94" s="9" t="s">
        <v>49</v>
      </c>
      <c r="F94" s="9" t="s">
        <v>345</v>
      </c>
      <c r="G94" s="9" t="s">
        <v>346</v>
      </c>
      <c r="H94" s="9" t="s">
        <v>0</v>
      </c>
      <c r="I94" s="9" t="s">
        <v>413</v>
      </c>
      <c r="J94" s="9" t="s">
        <v>414</v>
      </c>
      <c r="K94" s="9" t="s">
        <v>89</v>
      </c>
      <c r="L94" s="9" t="s">
        <v>340</v>
      </c>
      <c r="M94" s="9">
        <v>47</v>
      </c>
      <c r="N94" s="9">
        <v>18</v>
      </c>
      <c r="O94" s="9" t="s">
        <v>57</v>
      </c>
      <c r="P94" s="9" t="s">
        <v>58</v>
      </c>
      <c r="Q94" s="9">
        <v>344</v>
      </c>
      <c r="R94" s="9">
        <v>119</v>
      </c>
      <c r="S94" s="9">
        <v>225</v>
      </c>
      <c r="T94" s="9">
        <v>71</v>
      </c>
      <c r="U94" s="9">
        <v>0</v>
      </c>
      <c r="V94" s="9" t="s">
        <v>114</v>
      </c>
      <c r="W94" s="9">
        <v>0</v>
      </c>
      <c r="X94" s="9">
        <v>0</v>
      </c>
      <c r="Y94" s="9">
        <v>0</v>
      </c>
      <c r="Z94" s="9">
        <v>0</v>
      </c>
      <c r="AA94" s="9">
        <v>0</v>
      </c>
      <c r="AB94" s="9">
        <v>0</v>
      </c>
      <c r="AC94" s="9">
        <v>14</v>
      </c>
      <c r="AD94" s="9" t="s">
        <v>0</v>
      </c>
      <c r="AE94" s="9" t="s">
        <v>60</v>
      </c>
    </row>
    <row r="95" spans="1:31" ht="51" x14ac:dyDescent="0.2">
      <c r="A95" s="8" t="str">
        <f>HYPERLINK("http://www.patentics.cn/invokexml.do?sx=showpatent_cn&amp;sf=ShowPatent&amp;spn=CN101449504B&amp;sx=showpatent_cn&amp;sv=60a2d1fbb602df5ce4ba6d29b670018b","CN101449504B")</f>
        <v>CN101449504B</v>
      </c>
      <c r="B95" s="9" t="s">
        <v>415</v>
      </c>
      <c r="C95" s="9" t="s">
        <v>416</v>
      </c>
      <c r="D95" s="9" t="s">
        <v>301</v>
      </c>
      <c r="E95" s="9" t="s">
        <v>301</v>
      </c>
      <c r="F95" s="9" t="s">
        <v>417</v>
      </c>
      <c r="G95" s="9" t="s">
        <v>418</v>
      </c>
      <c r="H95" s="9" t="s">
        <v>365</v>
      </c>
      <c r="I95" s="9" t="s">
        <v>419</v>
      </c>
      <c r="J95" s="9" t="s">
        <v>420</v>
      </c>
      <c r="K95" s="9" t="s">
        <v>68</v>
      </c>
      <c r="L95" s="9" t="s">
        <v>211</v>
      </c>
      <c r="M95" s="9">
        <v>39</v>
      </c>
      <c r="N95" s="9">
        <v>11</v>
      </c>
      <c r="O95" s="9" t="s">
        <v>57</v>
      </c>
      <c r="P95" s="9" t="s">
        <v>58</v>
      </c>
      <c r="Q95" s="9">
        <v>2</v>
      </c>
      <c r="R95" s="9">
        <v>0</v>
      </c>
      <c r="S95" s="9">
        <v>2</v>
      </c>
      <c r="T95" s="9">
        <v>2</v>
      </c>
      <c r="U95" s="9">
        <v>0</v>
      </c>
      <c r="V95" s="9" t="s">
        <v>114</v>
      </c>
      <c r="W95" s="9">
        <v>0</v>
      </c>
      <c r="X95" s="9">
        <v>0</v>
      </c>
      <c r="Y95" s="9">
        <v>0</v>
      </c>
      <c r="Z95" s="9">
        <v>0</v>
      </c>
      <c r="AA95" s="9">
        <v>15</v>
      </c>
      <c r="AB95" s="9">
        <v>9</v>
      </c>
      <c r="AC95" s="9">
        <v>14</v>
      </c>
      <c r="AD95" s="9" t="s">
        <v>0</v>
      </c>
      <c r="AE95" s="9" t="s">
        <v>60</v>
      </c>
    </row>
    <row r="96" spans="1:31" ht="25.5" x14ac:dyDescent="0.2">
      <c r="A96" s="8" t="str">
        <f>HYPERLINK("http://www.patentics.cn/invokexml.do?sx=showpatent_cn&amp;sf=ShowPatent&amp;spn=CN102474475B&amp;sx=showpatent_cn&amp;sv=0c8ceb1f20e6215cc375345caec1b3c5","CN102474475B")</f>
        <v>CN102474475B</v>
      </c>
      <c r="B96" s="9" t="s">
        <v>421</v>
      </c>
      <c r="C96" s="9" t="s">
        <v>422</v>
      </c>
      <c r="D96" s="9" t="s">
        <v>301</v>
      </c>
      <c r="E96" s="9" t="s">
        <v>301</v>
      </c>
      <c r="F96" s="9" t="s">
        <v>423</v>
      </c>
      <c r="G96" s="9" t="s">
        <v>424</v>
      </c>
      <c r="H96" s="9" t="s">
        <v>425</v>
      </c>
      <c r="I96" s="9" t="s">
        <v>426</v>
      </c>
      <c r="J96" s="9" t="s">
        <v>427</v>
      </c>
      <c r="K96" s="9" t="s">
        <v>68</v>
      </c>
      <c r="L96" s="9" t="s">
        <v>428</v>
      </c>
      <c r="M96" s="9">
        <v>45</v>
      </c>
      <c r="N96" s="9">
        <v>11</v>
      </c>
      <c r="O96" s="9" t="s">
        <v>57</v>
      </c>
      <c r="P96" s="9" t="s">
        <v>58</v>
      </c>
      <c r="Q96" s="9">
        <v>8</v>
      </c>
      <c r="R96" s="9">
        <v>0</v>
      </c>
      <c r="S96" s="9">
        <v>8</v>
      </c>
      <c r="T96" s="9">
        <v>6</v>
      </c>
      <c r="U96" s="9">
        <v>0</v>
      </c>
      <c r="V96" s="9" t="s">
        <v>114</v>
      </c>
      <c r="W96" s="9">
        <v>0</v>
      </c>
      <c r="X96" s="9">
        <v>0</v>
      </c>
      <c r="Y96" s="9">
        <v>0</v>
      </c>
      <c r="Z96" s="9">
        <v>0</v>
      </c>
      <c r="AA96" s="9">
        <v>11</v>
      </c>
      <c r="AB96" s="9">
        <v>7</v>
      </c>
      <c r="AC96" s="9">
        <v>14</v>
      </c>
      <c r="AD96" s="9" t="s">
        <v>0</v>
      </c>
      <c r="AE96" s="9" t="s">
        <v>60</v>
      </c>
    </row>
    <row r="97" spans="1:31" ht="25.5" x14ac:dyDescent="0.2">
      <c r="A97" s="8" t="str">
        <f>HYPERLINK("http://www.patentics.cn/invokexml.do?sx=showpatent_cn&amp;sf=ShowPatent&amp;spn=CN102474475&amp;sx=showpatent_cn&amp;sv=e3617aa4b59c3798e11ab7ee8cb5300c","CN102474475")</f>
        <v>CN102474475</v>
      </c>
      <c r="B97" s="9" t="s">
        <v>421</v>
      </c>
      <c r="C97" s="9" t="s">
        <v>422</v>
      </c>
      <c r="D97" s="9" t="s">
        <v>301</v>
      </c>
      <c r="E97" s="9" t="s">
        <v>301</v>
      </c>
      <c r="F97" s="9" t="s">
        <v>423</v>
      </c>
      <c r="G97" s="9" t="s">
        <v>424</v>
      </c>
      <c r="H97" s="9" t="s">
        <v>425</v>
      </c>
      <c r="I97" s="9" t="s">
        <v>426</v>
      </c>
      <c r="J97" s="9" t="s">
        <v>429</v>
      </c>
      <c r="K97" s="9" t="s">
        <v>68</v>
      </c>
      <c r="L97" s="9" t="s">
        <v>428</v>
      </c>
      <c r="M97" s="9">
        <v>50</v>
      </c>
      <c r="N97" s="9">
        <v>5</v>
      </c>
      <c r="O97" s="9" t="s">
        <v>42</v>
      </c>
      <c r="P97" s="9" t="s">
        <v>58</v>
      </c>
      <c r="Q97" s="9">
        <v>8</v>
      </c>
      <c r="R97" s="9">
        <v>0</v>
      </c>
      <c r="S97" s="9">
        <v>8</v>
      </c>
      <c r="T97" s="9">
        <v>6</v>
      </c>
      <c r="U97" s="9">
        <v>0</v>
      </c>
      <c r="V97" s="9" t="s">
        <v>114</v>
      </c>
      <c r="W97" s="9">
        <v>0</v>
      </c>
      <c r="X97" s="9">
        <v>0</v>
      </c>
      <c r="Y97" s="9">
        <v>0</v>
      </c>
      <c r="Z97" s="9">
        <v>0</v>
      </c>
      <c r="AA97" s="9">
        <v>11</v>
      </c>
      <c r="AB97" s="9">
        <v>7</v>
      </c>
      <c r="AC97" s="9">
        <v>14</v>
      </c>
      <c r="AD97" s="9" t="s">
        <v>0</v>
      </c>
      <c r="AE97" s="9" t="s">
        <v>60</v>
      </c>
    </row>
    <row r="98" spans="1:31" ht="25.5" x14ac:dyDescent="0.2">
      <c r="A98" s="6" t="str">
        <f>HYPERLINK("http://www.patentics.cn/invokexml.do?sx=showpatent_cn&amp;sf=ShowPatent&amp;spn=CN101242158&amp;sx=showpatent_cn&amp;sv=87fd1bb1a441db6438884074a898eb08","CN101242158")</f>
        <v>CN101242158</v>
      </c>
      <c r="B98" s="7" t="s">
        <v>430</v>
      </c>
      <c r="C98" s="7" t="s">
        <v>431</v>
      </c>
      <c r="D98" s="7" t="s">
        <v>432</v>
      </c>
      <c r="E98" s="7" t="s">
        <v>432</v>
      </c>
      <c r="F98" s="7" t="s">
        <v>433</v>
      </c>
      <c r="G98" s="7" t="s">
        <v>434</v>
      </c>
      <c r="H98" s="7" t="s">
        <v>435</v>
      </c>
      <c r="I98" s="7" t="s">
        <v>435</v>
      </c>
      <c r="J98" s="7" t="s">
        <v>436</v>
      </c>
      <c r="K98" s="7" t="s">
        <v>437</v>
      </c>
      <c r="L98" s="7" t="s">
        <v>438</v>
      </c>
      <c r="M98" s="7">
        <v>2</v>
      </c>
      <c r="N98" s="7">
        <v>36</v>
      </c>
      <c r="O98" s="7" t="s">
        <v>42</v>
      </c>
      <c r="P98" s="7" t="s">
        <v>43</v>
      </c>
      <c r="Q98" s="7">
        <v>0</v>
      </c>
      <c r="R98" s="7">
        <v>0</v>
      </c>
      <c r="S98" s="7">
        <v>0</v>
      </c>
      <c r="T98" s="7">
        <v>0</v>
      </c>
      <c r="U98" s="7">
        <v>19</v>
      </c>
      <c r="V98" s="7" t="s">
        <v>439</v>
      </c>
      <c r="W98" s="7">
        <v>0</v>
      </c>
      <c r="X98" s="7">
        <v>19</v>
      </c>
      <c r="Y98" s="7">
        <v>5</v>
      </c>
      <c r="Z98" s="7">
        <v>2</v>
      </c>
      <c r="AA98" s="7">
        <v>1</v>
      </c>
      <c r="AB98" s="7">
        <v>1</v>
      </c>
      <c r="AC98" s="7" t="s">
        <v>0</v>
      </c>
      <c r="AD98" s="7">
        <v>13</v>
      </c>
      <c r="AE98" s="7" t="s">
        <v>60</v>
      </c>
    </row>
    <row r="99" spans="1:31" ht="25.5" x14ac:dyDescent="0.2">
      <c r="A99" s="8" t="str">
        <f>HYPERLINK("http://www.patentics.cn/invokexml.do?sx=showpatent_cn&amp;sf=ShowPatent&amp;spn=US9118439&amp;sx=showpatent_cn&amp;sv=9c12d144642bf5a700dd50df805823af","US9118439")</f>
        <v>US9118439</v>
      </c>
      <c r="B99" s="9" t="s">
        <v>440</v>
      </c>
      <c r="C99" s="9" t="s">
        <v>441</v>
      </c>
      <c r="D99" s="9" t="s">
        <v>48</v>
      </c>
      <c r="E99" s="9" t="s">
        <v>49</v>
      </c>
      <c r="F99" s="9" t="s">
        <v>442</v>
      </c>
      <c r="G99" s="9" t="s">
        <v>442</v>
      </c>
      <c r="H99" s="9" t="s">
        <v>443</v>
      </c>
      <c r="I99" s="9" t="s">
        <v>444</v>
      </c>
      <c r="J99" s="9" t="s">
        <v>445</v>
      </c>
      <c r="K99" s="9" t="s">
        <v>68</v>
      </c>
      <c r="L99" s="9" t="s">
        <v>446</v>
      </c>
      <c r="M99" s="9">
        <v>20</v>
      </c>
      <c r="N99" s="9">
        <v>12</v>
      </c>
      <c r="O99" s="9" t="s">
        <v>57</v>
      </c>
      <c r="P99" s="9" t="s">
        <v>58</v>
      </c>
      <c r="Q99" s="9">
        <v>328</v>
      </c>
      <c r="R99" s="9">
        <v>68</v>
      </c>
      <c r="S99" s="9">
        <v>260</v>
      </c>
      <c r="T99" s="9">
        <v>100</v>
      </c>
      <c r="U99" s="9">
        <v>1</v>
      </c>
      <c r="V99" s="9" t="s">
        <v>82</v>
      </c>
      <c r="W99" s="9">
        <v>0</v>
      </c>
      <c r="X99" s="9">
        <v>1</v>
      </c>
      <c r="Y99" s="9">
        <v>1</v>
      </c>
      <c r="Z99" s="9">
        <v>1</v>
      </c>
      <c r="AA99" s="9">
        <v>5</v>
      </c>
      <c r="AB99" s="9">
        <v>5</v>
      </c>
      <c r="AC99" s="9">
        <v>14</v>
      </c>
      <c r="AD99" s="9" t="s">
        <v>0</v>
      </c>
      <c r="AE99" s="9" t="s">
        <v>60</v>
      </c>
    </row>
    <row r="100" spans="1:31" ht="114.75" x14ac:dyDescent="0.2">
      <c r="A100" s="8" t="str">
        <f>HYPERLINK("http://www.patentics.cn/invokexml.do?sx=showpatent_cn&amp;sf=ShowPatent&amp;spn=US9154179&amp;sx=showpatent_cn&amp;sv=2081f0345edfec083f4330bbee161cc3","US9154179")</f>
        <v>US9154179</v>
      </c>
      <c r="B100" s="9" t="s">
        <v>447</v>
      </c>
      <c r="C100" s="9" t="s">
        <v>448</v>
      </c>
      <c r="D100" s="9" t="s">
        <v>48</v>
      </c>
      <c r="E100" s="9" t="s">
        <v>49</v>
      </c>
      <c r="F100" s="9" t="s">
        <v>449</v>
      </c>
      <c r="G100" s="9" t="s">
        <v>450</v>
      </c>
      <c r="H100" s="9" t="s">
        <v>451</v>
      </c>
      <c r="I100" s="9" t="s">
        <v>451</v>
      </c>
      <c r="J100" s="9" t="s">
        <v>217</v>
      </c>
      <c r="K100" s="9" t="s">
        <v>89</v>
      </c>
      <c r="L100" s="9" t="s">
        <v>136</v>
      </c>
      <c r="M100" s="9">
        <v>12</v>
      </c>
      <c r="N100" s="9">
        <v>18</v>
      </c>
      <c r="O100" s="9" t="s">
        <v>57</v>
      </c>
      <c r="P100" s="9" t="s">
        <v>58</v>
      </c>
      <c r="Q100" s="9">
        <v>324</v>
      </c>
      <c r="R100" s="9">
        <v>67</v>
      </c>
      <c r="S100" s="9">
        <v>257</v>
      </c>
      <c r="T100" s="9">
        <v>100</v>
      </c>
      <c r="U100" s="9">
        <v>2</v>
      </c>
      <c r="V100" s="9" t="s">
        <v>452</v>
      </c>
      <c r="W100" s="9">
        <v>0</v>
      </c>
      <c r="X100" s="9">
        <v>2</v>
      </c>
      <c r="Y100" s="9">
        <v>2</v>
      </c>
      <c r="Z100" s="9">
        <v>1</v>
      </c>
      <c r="AA100" s="9">
        <v>2</v>
      </c>
      <c r="AB100" s="9">
        <v>2</v>
      </c>
      <c r="AC100" s="9">
        <v>14</v>
      </c>
      <c r="AD100" s="9" t="s">
        <v>0</v>
      </c>
      <c r="AE100" s="9" t="s">
        <v>60</v>
      </c>
    </row>
    <row r="101" spans="1:31" ht="63.75" x14ac:dyDescent="0.2">
      <c r="A101" s="8" t="str">
        <f>HYPERLINK("http://www.patentics.cn/invokexml.do?sx=showpatent_cn&amp;sf=ShowPatent&amp;spn=US9154356&amp;sx=showpatent_cn&amp;sv=e5a498a0822bdfd9e4d984612206d42d","US9154356")</f>
        <v>US9154356</v>
      </c>
      <c r="B101" s="9" t="s">
        <v>453</v>
      </c>
      <c r="C101" s="9" t="s">
        <v>454</v>
      </c>
      <c r="D101" s="9" t="s">
        <v>48</v>
      </c>
      <c r="E101" s="9" t="s">
        <v>49</v>
      </c>
      <c r="F101" s="9" t="s">
        <v>455</v>
      </c>
      <c r="G101" s="9" t="s">
        <v>456</v>
      </c>
      <c r="H101" s="9" t="s">
        <v>457</v>
      </c>
      <c r="I101" s="9" t="s">
        <v>458</v>
      </c>
      <c r="J101" s="9" t="s">
        <v>217</v>
      </c>
      <c r="K101" s="9" t="s">
        <v>68</v>
      </c>
      <c r="L101" s="9" t="s">
        <v>459</v>
      </c>
      <c r="M101" s="9">
        <v>20</v>
      </c>
      <c r="N101" s="9">
        <v>16</v>
      </c>
      <c r="O101" s="9" t="s">
        <v>57</v>
      </c>
      <c r="P101" s="9" t="s">
        <v>58</v>
      </c>
      <c r="Q101" s="9">
        <v>322</v>
      </c>
      <c r="R101" s="9">
        <v>67</v>
      </c>
      <c r="S101" s="9">
        <v>255</v>
      </c>
      <c r="T101" s="9">
        <v>100</v>
      </c>
      <c r="U101" s="9">
        <v>9</v>
      </c>
      <c r="V101" s="9" t="s">
        <v>460</v>
      </c>
      <c r="W101" s="9">
        <v>3</v>
      </c>
      <c r="X101" s="9">
        <v>6</v>
      </c>
      <c r="Y101" s="9">
        <v>6</v>
      </c>
      <c r="Z101" s="9">
        <v>1</v>
      </c>
      <c r="AA101" s="9">
        <v>27</v>
      </c>
      <c r="AB101" s="9">
        <v>6</v>
      </c>
      <c r="AC101" s="9">
        <v>14</v>
      </c>
      <c r="AD101" s="9" t="s">
        <v>0</v>
      </c>
      <c r="AE101" s="9" t="s">
        <v>60</v>
      </c>
    </row>
    <row r="102" spans="1:31" ht="242.25" x14ac:dyDescent="0.2">
      <c r="A102" s="8" t="str">
        <f>HYPERLINK("http://www.patentics.cn/invokexml.do?sx=showpatent_cn&amp;sf=ShowPatent&amp;spn=US9154357&amp;sx=showpatent_cn&amp;sv=733176f5531678dc095da2d32d028423","US9154357")</f>
        <v>US9154357</v>
      </c>
      <c r="B102" s="9" t="s">
        <v>461</v>
      </c>
      <c r="C102" s="9" t="s">
        <v>462</v>
      </c>
      <c r="D102" s="9" t="s">
        <v>48</v>
      </c>
      <c r="E102" s="9" t="s">
        <v>49</v>
      </c>
      <c r="F102" s="9" t="s">
        <v>463</v>
      </c>
      <c r="G102" s="9" t="s">
        <v>456</v>
      </c>
      <c r="H102" s="9" t="s">
        <v>457</v>
      </c>
      <c r="I102" s="9" t="s">
        <v>464</v>
      </c>
      <c r="J102" s="9" t="s">
        <v>217</v>
      </c>
      <c r="K102" s="9" t="s">
        <v>89</v>
      </c>
      <c r="L102" s="9" t="s">
        <v>465</v>
      </c>
      <c r="M102" s="9">
        <v>20</v>
      </c>
      <c r="N102" s="9">
        <v>11</v>
      </c>
      <c r="O102" s="9" t="s">
        <v>57</v>
      </c>
      <c r="P102" s="9" t="s">
        <v>58</v>
      </c>
      <c r="Q102" s="9">
        <v>325</v>
      </c>
      <c r="R102" s="9">
        <v>68</v>
      </c>
      <c r="S102" s="9">
        <v>257</v>
      </c>
      <c r="T102" s="9">
        <v>100</v>
      </c>
      <c r="U102" s="9">
        <v>5</v>
      </c>
      <c r="V102" s="9" t="s">
        <v>466</v>
      </c>
      <c r="W102" s="9">
        <v>3</v>
      </c>
      <c r="X102" s="9">
        <v>2</v>
      </c>
      <c r="Y102" s="9">
        <v>3</v>
      </c>
      <c r="Z102" s="9">
        <v>1</v>
      </c>
      <c r="AA102" s="9">
        <v>27</v>
      </c>
      <c r="AB102" s="9">
        <v>6</v>
      </c>
      <c r="AC102" s="9">
        <v>14</v>
      </c>
      <c r="AD102" s="9" t="s">
        <v>0</v>
      </c>
      <c r="AE102" s="9" t="s">
        <v>60</v>
      </c>
    </row>
    <row r="103" spans="1:31" ht="76.5" x14ac:dyDescent="0.2">
      <c r="A103" s="8" t="str">
        <f>HYPERLINK("http://www.patentics.cn/invokexml.do?sx=showpatent_cn&amp;sf=ShowPatent&amp;spn=US9160598&amp;sx=showpatent_cn&amp;sv=3eff79044e77f91f7cb343ef16c5690b","US9160598")</f>
        <v>US9160598</v>
      </c>
      <c r="B103" s="9" t="s">
        <v>467</v>
      </c>
      <c r="C103" s="9" t="s">
        <v>468</v>
      </c>
      <c r="D103" s="9" t="s">
        <v>48</v>
      </c>
      <c r="E103" s="9" t="s">
        <v>49</v>
      </c>
      <c r="F103" s="9" t="s">
        <v>469</v>
      </c>
      <c r="G103" s="9" t="s">
        <v>470</v>
      </c>
      <c r="H103" s="9" t="s">
        <v>457</v>
      </c>
      <c r="I103" s="9" t="s">
        <v>471</v>
      </c>
      <c r="J103" s="9" t="s">
        <v>472</v>
      </c>
      <c r="K103" s="9" t="s">
        <v>89</v>
      </c>
      <c r="L103" s="9" t="s">
        <v>473</v>
      </c>
      <c r="M103" s="9">
        <v>20</v>
      </c>
      <c r="N103" s="9">
        <v>10</v>
      </c>
      <c r="O103" s="9" t="s">
        <v>57</v>
      </c>
      <c r="P103" s="9" t="s">
        <v>58</v>
      </c>
      <c r="Q103" s="9">
        <v>324</v>
      </c>
      <c r="R103" s="9">
        <v>67</v>
      </c>
      <c r="S103" s="9">
        <v>257</v>
      </c>
      <c r="T103" s="9">
        <v>100</v>
      </c>
      <c r="U103" s="9">
        <v>5</v>
      </c>
      <c r="V103" s="9" t="s">
        <v>466</v>
      </c>
      <c r="W103" s="9">
        <v>3</v>
      </c>
      <c r="X103" s="9">
        <v>2</v>
      </c>
      <c r="Y103" s="9">
        <v>3</v>
      </c>
      <c r="Z103" s="9">
        <v>1</v>
      </c>
      <c r="AA103" s="9">
        <v>27</v>
      </c>
      <c r="AB103" s="9">
        <v>6</v>
      </c>
      <c r="AC103" s="9">
        <v>14</v>
      </c>
      <c r="AD103" s="9" t="s">
        <v>0</v>
      </c>
      <c r="AE103" s="9" t="s">
        <v>60</v>
      </c>
    </row>
    <row r="104" spans="1:31" ht="76.5" x14ac:dyDescent="0.2">
      <c r="A104" s="8" t="str">
        <f>HYPERLINK("http://www.patentics.cn/invokexml.do?sx=showpatent_cn&amp;sf=ShowPatent&amp;spn=US9166852&amp;sx=showpatent_cn&amp;sv=933ae87425cf1d6b7aad8f1cc8ab8513","US9166852")</f>
        <v>US9166852</v>
      </c>
      <c r="B104" s="9" t="s">
        <v>474</v>
      </c>
      <c r="C104" s="9" t="s">
        <v>475</v>
      </c>
      <c r="D104" s="9" t="s">
        <v>48</v>
      </c>
      <c r="E104" s="9" t="s">
        <v>49</v>
      </c>
      <c r="F104" s="9" t="s">
        <v>469</v>
      </c>
      <c r="G104" s="9" t="s">
        <v>470</v>
      </c>
      <c r="H104" s="9" t="s">
        <v>457</v>
      </c>
      <c r="I104" s="9" t="s">
        <v>476</v>
      </c>
      <c r="J104" s="9" t="s">
        <v>477</v>
      </c>
      <c r="K104" s="9" t="s">
        <v>89</v>
      </c>
      <c r="L104" s="9" t="s">
        <v>478</v>
      </c>
      <c r="M104" s="9">
        <v>19</v>
      </c>
      <c r="N104" s="9">
        <v>16</v>
      </c>
      <c r="O104" s="9" t="s">
        <v>57</v>
      </c>
      <c r="P104" s="9" t="s">
        <v>58</v>
      </c>
      <c r="Q104" s="9">
        <v>328</v>
      </c>
      <c r="R104" s="9">
        <v>69</v>
      </c>
      <c r="S104" s="9">
        <v>259</v>
      </c>
      <c r="T104" s="9">
        <v>101</v>
      </c>
      <c r="U104" s="9">
        <v>4</v>
      </c>
      <c r="V104" s="9" t="s">
        <v>479</v>
      </c>
      <c r="W104" s="9">
        <v>2</v>
      </c>
      <c r="X104" s="9">
        <v>2</v>
      </c>
      <c r="Y104" s="9">
        <v>3</v>
      </c>
      <c r="Z104" s="9">
        <v>1</v>
      </c>
      <c r="AA104" s="9">
        <v>27</v>
      </c>
      <c r="AB104" s="9">
        <v>6</v>
      </c>
      <c r="AC104" s="9">
        <v>14</v>
      </c>
      <c r="AD104" s="9" t="s">
        <v>0</v>
      </c>
      <c r="AE104" s="9" t="s">
        <v>60</v>
      </c>
    </row>
    <row r="105" spans="1:31" ht="114.75" x14ac:dyDescent="0.2">
      <c r="A105" s="8" t="str">
        <f>HYPERLINK("http://www.patentics.cn/invokexml.do?sx=showpatent_cn&amp;sf=ShowPatent&amp;spn=US9172402&amp;sx=showpatent_cn&amp;sv=fe5e5d520fde53fb5261e1d292b63601","US9172402")</f>
        <v>US9172402</v>
      </c>
      <c r="B105" s="9" t="s">
        <v>480</v>
      </c>
      <c r="C105" s="9" t="s">
        <v>481</v>
      </c>
      <c r="D105" s="9" t="s">
        <v>48</v>
      </c>
      <c r="E105" s="9" t="s">
        <v>49</v>
      </c>
      <c r="F105" s="9" t="s">
        <v>482</v>
      </c>
      <c r="G105" s="9" t="s">
        <v>450</v>
      </c>
      <c r="H105" s="9" t="s">
        <v>483</v>
      </c>
      <c r="I105" s="9" t="s">
        <v>483</v>
      </c>
      <c r="J105" s="9" t="s">
        <v>223</v>
      </c>
      <c r="K105" s="9" t="s">
        <v>89</v>
      </c>
      <c r="L105" s="9" t="s">
        <v>263</v>
      </c>
      <c r="M105" s="9">
        <v>31</v>
      </c>
      <c r="N105" s="9">
        <v>20</v>
      </c>
      <c r="O105" s="9" t="s">
        <v>57</v>
      </c>
      <c r="P105" s="9" t="s">
        <v>58</v>
      </c>
      <c r="Q105" s="9">
        <v>325</v>
      </c>
      <c r="R105" s="9">
        <v>69</v>
      </c>
      <c r="S105" s="9">
        <v>256</v>
      </c>
      <c r="T105" s="9">
        <v>101</v>
      </c>
      <c r="U105" s="9">
        <v>2</v>
      </c>
      <c r="V105" s="9" t="s">
        <v>484</v>
      </c>
      <c r="W105" s="9">
        <v>0</v>
      </c>
      <c r="X105" s="9">
        <v>2</v>
      </c>
      <c r="Y105" s="9">
        <v>2</v>
      </c>
      <c r="Z105" s="9">
        <v>1</v>
      </c>
      <c r="AA105" s="9">
        <v>2</v>
      </c>
      <c r="AB105" s="9">
        <v>2</v>
      </c>
      <c r="AC105" s="9">
        <v>14</v>
      </c>
      <c r="AD105" s="9" t="s">
        <v>0</v>
      </c>
      <c r="AE105" s="9" t="s">
        <v>60</v>
      </c>
    </row>
    <row r="106" spans="1:31" ht="25.5" x14ac:dyDescent="0.2">
      <c r="A106" s="8" t="str">
        <f>HYPERLINK("http://www.patentics.cn/invokexml.do?sx=showpatent_cn&amp;sf=ShowPatent&amp;spn=US9178669&amp;sx=showpatent_cn&amp;sv=775bab36d5a305d193d4ee6a271daeba","US9178669")</f>
        <v>US9178669</v>
      </c>
      <c r="B106" s="9" t="s">
        <v>485</v>
      </c>
      <c r="C106" s="9" t="s">
        <v>486</v>
      </c>
      <c r="D106" s="9" t="s">
        <v>48</v>
      </c>
      <c r="E106" s="9" t="s">
        <v>49</v>
      </c>
      <c r="F106" s="9" t="s">
        <v>442</v>
      </c>
      <c r="G106" s="9" t="s">
        <v>442</v>
      </c>
      <c r="H106" s="9" t="s">
        <v>487</v>
      </c>
      <c r="I106" s="9" t="s">
        <v>483</v>
      </c>
      <c r="J106" s="9" t="s">
        <v>228</v>
      </c>
      <c r="K106" s="9" t="s">
        <v>488</v>
      </c>
      <c r="L106" s="9" t="s">
        <v>489</v>
      </c>
      <c r="M106" s="9">
        <v>15</v>
      </c>
      <c r="N106" s="9">
        <v>17</v>
      </c>
      <c r="O106" s="9" t="s">
        <v>57</v>
      </c>
      <c r="P106" s="9" t="s">
        <v>58</v>
      </c>
      <c r="Q106" s="9">
        <v>329</v>
      </c>
      <c r="R106" s="9">
        <v>70</v>
      </c>
      <c r="S106" s="9">
        <v>259</v>
      </c>
      <c r="T106" s="9">
        <v>101</v>
      </c>
      <c r="U106" s="9">
        <v>3</v>
      </c>
      <c r="V106" s="9" t="s">
        <v>490</v>
      </c>
      <c r="W106" s="9">
        <v>2</v>
      </c>
      <c r="X106" s="9">
        <v>1</v>
      </c>
      <c r="Y106" s="9">
        <v>2</v>
      </c>
      <c r="Z106" s="9">
        <v>1</v>
      </c>
      <c r="AA106" s="9">
        <v>6</v>
      </c>
      <c r="AB106" s="9">
        <v>6</v>
      </c>
      <c r="AC106" s="9">
        <v>14</v>
      </c>
      <c r="AD106" s="9" t="s">
        <v>0</v>
      </c>
      <c r="AE106" s="9" t="s">
        <v>60</v>
      </c>
    </row>
    <row r="107" spans="1:31" ht="89.25" x14ac:dyDescent="0.2">
      <c r="A107" s="8" t="str">
        <f>HYPERLINK("http://www.patentics.cn/invokexml.do?sx=showpatent_cn&amp;sf=ShowPatent&amp;spn=US9252827&amp;sx=showpatent_cn&amp;sv=8eb703154a076d47d3450954c57ac26e","US9252827")</f>
        <v>US9252827</v>
      </c>
      <c r="B107" s="9" t="s">
        <v>491</v>
      </c>
      <c r="C107" s="9" t="s">
        <v>492</v>
      </c>
      <c r="D107" s="9" t="s">
        <v>48</v>
      </c>
      <c r="E107" s="9" t="s">
        <v>49</v>
      </c>
      <c r="F107" s="9" t="s">
        <v>493</v>
      </c>
      <c r="G107" s="9" t="s">
        <v>450</v>
      </c>
      <c r="H107" s="9" t="s">
        <v>494</v>
      </c>
      <c r="I107" s="9" t="s">
        <v>483</v>
      </c>
      <c r="J107" s="9" t="s">
        <v>495</v>
      </c>
      <c r="K107" s="9" t="s">
        <v>89</v>
      </c>
      <c r="L107" s="9" t="s">
        <v>496</v>
      </c>
      <c r="M107" s="9">
        <v>40</v>
      </c>
      <c r="N107" s="9">
        <v>21</v>
      </c>
      <c r="O107" s="9" t="s">
        <v>57</v>
      </c>
      <c r="P107" s="9" t="s">
        <v>58</v>
      </c>
      <c r="Q107" s="9">
        <v>325</v>
      </c>
      <c r="R107" s="9">
        <v>69</v>
      </c>
      <c r="S107" s="9">
        <v>256</v>
      </c>
      <c r="T107" s="9">
        <v>101</v>
      </c>
      <c r="U107" s="9">
        <v>0</v>
      </c>
      <c r="V107" s="9" t="s">
        <v>114</v>
      </c>
      <c r="W107" s="9">
        <v>0</v>
      </c>
      <c r="X107" s="9">
        <v>0</v>
      </c>
      <c r="Y107" s="9">
        <v>0</v>
      </c>
      <c r="Z107" s="9">
        <v>0</v>
      </c>
      <c r="AA107" s="9">
        <v>7</v>
      </c>
      <c r="AB107" s="9">
        <v>6</v>
      </c>
      <c r="AC107" s="9">
        <v>14</v>
      </c>
      <c r="AD107" s="9" t="s">
        <v>0</v>
      </c>
      <c r="AE107" s="9" t="s">
        <v>60</v>
      </c>
    </row>
    <row r="108" spans="1:31" ht="102" x14ac:dyDescent="0.2">
      <c r="A108" s="8" t="str">
        <f>HYPERLINK("http://www.patentics.cn/invokexml.do?sx=showpatent_cn&amp;sf=ShowPatent&amp;spn=US9300420&amp;sx=showpatent_cn&amp;sv=ed62334e0f010c4231f11fbd13113751","US9300420")</f>
        <v>US9300420</v>
      </c>
      <c r="B108" s="9" t="s">
        <v>497</v>
      </c>
      <c r="C108" s="9" t="s">
        <v>498</v>
      </c>
      <c r="D108" s="9" t="s">
        <v>48</v>
      </c>
      <c r="E108" s="9" t="s">
        <v>49</v>
      </c>
      <c r="F108" s="9" t="s">
        <v>499</v>
      </c>
      <c r="G108" s="9" t="s">
        <v>500</v>
      </c>
      <c r="H108" s="9" t="s">
        <v>501</v>
      </c>
      <c r="I108" s="9" t="s">
        <v>501</v>
      </c>
      <c r="J108" s="9" t="s">
        <v>502</v>
      </c>
      <c r="K108" s="9" t="s">
        <v>40</v>
      </c>
      <c r="L108" s="9" t="s">
        <v>503</v>
      </c>
      <c r="M108" s="9">
        <v>20</v>
      </c>
      <c r="N108" s="9">
        <v>17</v>
      </c>
      <c r="O108" s="9" t="s">
        <v>57</v>
      </c>
      <c r="P108" s="9" t="s">
        <v>58</v>
      </c>
      <c r="Q108" s="9">
        <v>328</v>
      </c>
      <c r="R108" s="9">
        <v>69</v>
      </c>
      <c r="S108" s="9">
        <v>259</v>
      </c>
      <c r="T108" s="9">
        <v>100</v>
      </c>
      <c r="U108" s="9">
        <v>2</v>
      </c>
      <c r="V108" s="9" t="s">
        <v>490</v>
      </c>
      <c r="W108" s="9">
        <v>0</v>
      </c>
      <c r="X108" s="9">
        <v>2</v>
      </c>
      <c r="Y108" s="9">
        <v>2</v>
      </c>
      <c r="Z108" s="9">
        <v>1</v>
      </c>
      <c r="AA108" s="9">
        <v>6</v>
      </c>
      <c r="AB108" s="9">
        <v>5</v>
      </c>
      <c r="AC108" s="9">
        <v>14</v>
      </c>
      <c r="AD108" s="9" t="s">
        <v>0</v>
      </c>
      <c r="AE108" s="9" t="s">
        <v>60</v>
      </c>
    </row>
    <row r="109" spans="1:31" ht="165.75" x14ac:dyDescent="0.2">
      <c r="A109" s="8" t="str">
        <f>HYPERLINK("http://www.patentics.cn/invokexml.do?sx=showpatent_cn&amp;sf=ShowPatent&amp;spn=US9362958&amp;sx=showpatent_cn&amp;sv=424fbabd840da73ee8a0627b0dd24a93","US9362958")</f>
        <v>US9362958</v>
      </c>
      <c r="B109" s="9" t="s">
        <v>504</v>
      </c>
      <c r="C109" s="9" t="s">
        <v>505</v>
      </c>
      <c r="D109" s="9" t="s">
        <v>117</v>
      </c>
      <c r="E109" s="9" t="s">
        <v>49</v>
      </c>
      <c r="F109" s="9" t="s">
        <v>506</v>
      </c>
      <c r="G109" s="9" t="s">
        <v>450</v>
      </c>
      <c r="H109" s="9" t="s">
        <v>483</v>
      </c>
      <c r="I109" s="9" t="s">
        <v>483</v>
      </c>
      <c r="J109" s="9" t="s">
        <v>507</v>
      </c>
      <c r="K109" s="9" t="s">
        <v>89</v>
      </c>
      <c r="L109" s="9" t="s">
        <v>263</v>
      </c>
      <c r="M109" s="9">
        <v>30</v>
      </c>
      <c r="N109" s="9">
        <v>21</v>
      </c>
      <c r="O109" s="9" t="s">
        <v>57</v>
      </c>
      <c r="P109" s="9" t="s">
        <v>58</v>
      </c>
      <c r="Q109" s="9">
        <v>330</v>
      </c>
      <c r="R109" s="9">
        <v>69</v>
      </c>
      <c r="S109" s="9">
        <v>261</v>
      </c>
      <c r="T109" s="9">
        <v>101</v>
      </c>
      <c r="U109" s="9">
        <v>0</v>
      </c>
      <c r="V109" s="9" t="s">
        <v>114</v>
      </c>
      <c r="W109" s="9">
        <v>0</v>
      </c>
      <c r="X109" s="9">
        <v>0</v>
      </c>
      <c r="Y109" s="9">
        <v>0</v>
      </c>
      <c r="Z109" s="9">
        <v>0</v>
      </c>
      <c r="AA109" s="9">
        <v>8</v>
      </c>
      <c r="AB109" s="9">
        <v>6</v>
      </c>
      <c r="AC109" s="9">
        <v>14</v>
      </c>
      <c r="AD109" s="9" t="s">
        <v>0</v>
      </c>
      <c r="AE109" s="9" t="s">
        <v>60</v>
      </c>
    </row>
    <row r="110" spans="1:31" ht="102" x14ac:dyDescent="0.2">
      <c r="A110" s="8" t="str">
        <f>HYPERLINK("http://www.patentics.cn/invokexml.do?sx=showpatent_cn&amp;sf=ShowPatent&amp;spn=US9450665&amp;sx=showpatent_cn&amp;sv=2292e20c93add6adc07e54e0573153e0","US9450665")</f>
        <v>US9450665</v>
      </c>
      <c r="B110" s="9" t="s">
        <v>508</v>
      </c>
      <c r="C110" s="9" t="s">
        <v>509</v>
      </c>
      <c r="D110" s="9" t="s">
        <v>48</v>
      </c>
      <c r="E110" s="9" t="s">
        <v>49</v>
      </c>
      <c r="F110" s="9" t="s">
        <v>510</v>
      </c>
      <c r="G110" s="9" t="s">
        <v>511</v>
      </c>
      <c r="H110" s="9" t="s">
        <v>0</v>
      </c>
      <c r="I110" s="9" t="s">
        <v>512</v>
      </c>
      <c r="J110" s="9" t="s">
        <v>513</v>
      </c>
      <c r="K110" s="9" t="s">
        <v>89</v>
      </c>
      <c r="L110" s="9" t="s">
        <v>514</v>
      </c>
      <c r="M110" s="9">
        <v>35</v>
      </c>
      <c r="N110" s="9">
        <v>15</v>
      </c>
      <c r="O110" s="9" t="s">
        <v>57</v>
      </c>
      <c r="P110" s="9" t="s">
        <v>58</v>
      </c>
      <c r="Q110" s="9">
        <v>328</v>
      </c>
      <c r="R110" s="9">
        <v>70</v>
      </c>
      <c r="S110" s="9">
        <v>258</v>
      </c>
      <c r="T110" s="9">
        <v>101</v>
      </c>
      <c r="U110" s="9">
        <v>1</v>
      </c>
      <c r="V110" s="9" t="s">
        <v>515</v>
      </c>
      <c r="W110" s="9">
        <v>0</v>
      </c>
      <c r="X110" s="9">
        <v>1</v>
      </c>
      <c r="Y110" s="9">
        <v>1</v>
      </c>
      <c r="Z110" s="9">
        <v>1</v>
      </c>
      <c r="AA110" s="9">
        <v>0</v>
      </c>
      <c r="AB110" s="9">
        <v>0</v>
      </c>
      <c r="AC110" s="9">
        <v>14</v>
      </c>
      <c r="AD110" s="9" t="s">
        <v>0</v>
      </c>
      <c r="AE110" s="9" t="s">
        <v>60</v>
      </c>
    </row>
    <row r="111" spans="1:31" ht="38.25" x14ac:dyDescent="0.2">
      <c r="A111" s="8" t="str">
        <f>HYPERLINK("http://www.patentics.cn/invokexml.do?sx=showpatent_cn&amp;sf=ShowPatent&amp;spn=US9543903&amp;sx=showpatent_cn&amp;sv=1eb151986463a8a1d974c8ea39b97153","US9543903")</f>
        <v>US9543903</v>
      </c>
      <c r="B111" s="9" t="s">
        <v>516</v>
      </c>
      <c r="C111" s="9" t="s">
        <v>517</v>
      </c>
      <c r="D111" s="9" t="s">
        <v>48</v>
      </c>
      <c r="E111" s="9" t="s">
        <v>49</v>
      </c>
      <c r="F111" s="9" t="s">
        <v>518</v>
      </c>
      <c r="G111" s="9" t="s">
        <v>519</v>
      </c>
      <c r="H111" s="9" t="s">
        <v>520</v>
      </c>
      <c r="I111" s="9" t="s">
        <v>520</v>
      </c>
      <c r="J111" s="9" t="s">
        <v>521</v>
      </c>
      <c r="K111" s="9" t="s">
        <v>89</v>
      </c>
      <c r="L111" s="9" t="s">
        <v>473</v>
      </c>
      <c r="M111" s="9">
        <v>16</v>
      </c>
      <c r="N111" s="9">
        <v>12</v>
      </c>
      <c r="O111" s="9" t="s">
        <v>57</v>
      </c>
      <c r="P111" s="9" t="s">
        <v>58</v>
      </c>
      <c r="Q111" s="9">
        <v>333</v>
      </c>
      <c r="R111" s="9">
        <v>70</v>
      </c>
      <c r="S111" s="9">
        <v>263</v>
      </c>
      <c r="T111" s="9">
        <v>100</v>
      </c>
      <c r="U111" s="9">
        <v>0</v>
      </c>
      <c r="V111" s="9" t="s">
        <v>114</v>
      </c>
      <c r="W111" s="9">
        <v>0</v>
      </c>
      <c r="X111" s="9">
        <v>0</v>
      </c>
      <c r="Y111" s="9">
        <v>0</v>
      </c>
      <c r="Z111" s="9">
        <v>0</v>
      </c>
      <c r="AA111" s="9">
        <v>7</v>
      </c>
      <c r="AB111" s="9">
        <v>6</v>
      </c>
      <c r="AC111" s="9">
        <v>14</v>
      </c>
      <c r="AD111" s="9" t="s">
        <v>0</v>
      </c>
      <c r="AE111" s="9" t="s">
        <v>60</v>
      </c>
    </row>
    <row r="112" spans="1:31" ht="25.5" x14ac:dyDescent="0.2">
      <c r="A112" s="6" t="str">
        <f>HYPERLINK("http://www.patentics.cn/invokexml.do?sx=showpatent_cn&amp;sf=ShowPatent&amp;spn=CN1996352&amp;sx=showpatent_cn&amp;sv=27051e6017d747e5a4ee89b9a95184a0","CN1996352")</f>
        <v>CN1996352</v>
      </c>
      <c r="B112" s="7" t="s">
        <v>522</v>
      </c>
      <c r="C112" s="7" t="s">
        <v>523</v>
      </c>
      <c r="D112" s="7" t="s">
        <v>524</v>
      </c>
      <c r="E112" s="7" t="s">
        <v>524</v>
      </c>
      <c r="F112" s="7" t="s">
        <v>525</v>
      </c>
      <c r="G112" s="7" t="s">
        <v>526</v>
      </c>
      <c r="H112" s="7" t="s">
        <v>527</v>
      </c>
      <c r="I112" s="7" t="s">
        <v>527</v>
      </c>
      <c r="J112" s="7" t="s">
        <v>528</v>
      </c>
      <c r="K112" s="7" t="s">
        <v>529</v>
      </c>
      <c r="L112" s="7" t="s">
        <v>530</v>
      </c>
      <c r="M112" s="7">
        <v>4</v>
      </c>
      <c r="N112" s="7">
        <v>24</v>
      </c>
      <c r="O112" s="7" t="s">
        <v>42</v>
      </c>
      <c r="P112" s="7" t="s">
        <v>43</v>
      </c>
      <c r="Q112" s="7">
        <v>0</v>
      </c>
      <c r="R112" s="7">
        <v>0</v>
      </c>
      <c r="S112" s="7">
        <v>0</v>
      </c>
      <c r="T112" s="7">
        <v>0</v>
      </c>
      <c r="U112" s="7">
        <v>18</v>
      </c>
      <c r="V112" s="7" t="s">
        <v>531</v>
      </c>
      <c r="W112" s="7">
        <v>0</v>
      </c>
      <c r="X112" s="7">
        <v>18</v>
      </c>
      <c r="Y112" s="7">
        <v>5</v>
      </c>
      <c r="Z112" s="7">
        <v>3</v>
      </c>
      <c r="AA112" s="7">
        <v>1</v>
      </c>
      <c r="AB112" s="7">
        <v>1</v>
      </c>
      <c r="AC112" s="7" t="s">
        <v>0</v>
      </c>
      <c r="AD112" s="7">
        <v>13</v>
      </c>
      <c r="AE112" s="7" t="s">
        <v>532</v>
      </c>
    </row>
    <row r="113" spans="1:31" ht="204" x14ac:dyDescent="0.2">
      <c r="A113" s="8" t="str">
        <f>HYPERLINK("http://www.patentics.cn/invokexml.do?sx=showpatent_cn&amp;sf=ShowPatent&amp;spn=US8487478&amp;sx=showpatent_cn&amp;sv=743fa02a94bb90efbab682a9fb5edb00","US8487478")</f>
        <v>US8487478</v>
      </c>
      <c r="B113" s="9" t="s">
        <v>533</v>
      </c>
      <c r="C113" s="9" t="s">
        <v>534</v>
      </c>
      <c r="D113" s="9" t="s">
        <v>48</v>
      </c>
      <c r="E113" s="9" t="s">
        <v>49</v>
      </c>
      <c r="F113" s="9" t="s">
        <v>535</v>
      </c>
      <c r="G113" s="9" t="s">
        <v>536</v>
      </c>
      <c r="H113" s="9" t="s">
        <v>537</v>
      </c>
      <c r="I113" s="9" t="s">
        <v>538</v>
      </c>
      <c r="J113" s="9" t="s">
        <v>539</v>
      </c>
      <c r="K113" s="9" t="s">
        <v>540</v>
      </c>
      <c r="L113" s="9" t="s">
        <v>541</v>
      </c>
      <c r="M113" s="9">
        <v>27</v>
      </c>
      <c r="N113" s="9">
        <v>13</v>
      </c>
      <c r="O113" s="9" t="s">
        <v>57</v>
      </c>
      <c r="P113" s="9" t="s">
        <v>58</v>
      </c>
      <c r="Q113" s="9">
        <v>226</v>
      </c>
      <c r="R113" s="9">
        <v>13</v>
      </c>
      <c r="S113" s="9">
        <v>213</v>
      </c>
      <c r="T113" s="9">
        <v>112</v>
      </c>
      <c r="U113" s="9">
        <v>22</v>
      </c>
      <c r="V113" s="9" t="s">
        <v>542</v>
      </c>
      <c r="W113" s="9">
        <v>12</v>
      </c>
      <c r="X113" s="9">
        <v>10</v>
      </c>
      <c r="Y113" s="9">
        <v>8</v>
      </c>
      <c r="Z113" s="9">
        <v>1</v>
      </c>
      <c r="AA113" s="9">
        <v>127</v>
      </c>
      <c r="AB113" s="9">
        <v>7</v>
      </c>
      <c r="AC113" s="9">
        <v>14</v>
      </c>
      <c r="AD113" s="9" t="s">
        <v>0</v>
      </c>
      <c r="AE113" s="9" t="s">
        <v>60</v>
      </c>
    </row>
    <row r="114" spans="1:31" ht="89.25" x14ac:dyDescent="0.2">
      <c r="A114" s="8" t="str">
        <f>HYPERLINK("http://www.patentics.cn/invokexml.do?sx=showpatent_cn&amp;sf=ShowPatent&amp;spn=US8611815&amp;sx=showpatent_cn&amp;sv=132dd7af0398ed4dad260bcc6ed28504","US8611815")</f>
        <v>US8611815</v>
      </c>
      <c r="B114" s="9" t="s">
        <v>543</v>
      </c>
      <c r="C114" s="9" t="s">
        <v>544</v>
      </c>
      <c r="D114" s="9" t="s">
        <v>117</v>
      </c>
      <c r="E114" s="9" t="s">
        <v>49</v>
      </c>
      <c r="F114" s="9" t="s">
        <v>545</v>
      </c>
      <c r="G114" s="9" t="s">
        <v>546</v>
      </c>
      <c r="H114" s="9" t="s">
        <v>537</v>
      </c>
      <c r="I114" s="9" t="s">
        <v>547</v>
      </c>
      <c r="J114" s="9" t="s">
        <v>112</v>
      </c>
      <c r="K114" s="9" t="s">
        <v>89</v>
      </c>
      <c r="L114" s="9" t="s">
        <v>548</v>
      </c>
      <c r="M114" s="9">
        <v>46</v>
      </c>
      <c r="N114" s="9">
        <v>7</v>
      </c>
      <c r="O114" s="9" t="s">
        <v>57</v>
      </c>
      <c r="P114" s="9" t="s">
        <v>58</v>
      </c>
      <c r="Q114" s="9">
        <v>276</v>
      </c>
      <c r="R114" s="9">
        <v>13</v>
      </c>
      <c r="S114" s="9">
        <v>263</v>
      </c>
      <c r="T114" s="9">
        <v>136</v>
      </c>
      <c r="U114" s="9">
        <v>14</v>
      </c>
      <c r="V114" s="9" t="s">
        <v>549</v>
      </c>
      <c r="W114" s="9">
        <v>10</v>
      </c>
      <c r="X114" s="9">
        <v>4</v>
      </c>
      <c r="Y114" s="9">
        <v>5</v>
      </c>
      <c r="Z114" s="9">
        <v>1</v>
      </c>
      <c r="AA114" s="9">
        <v>127</v>
      </c>
      <c r="AB114" s="9">
        <v>7</v>
      </c>
      <c r="AC114" s="9">
        <v>14</v>
      </c>
      <c r="AD114" s="9" t="s">
        <v>0</v>
      </c>
      <c r="AE114" s="9" t="s">
        <v>60</v>
      </c>
    </row>
    <row r="115" spans="1:31" ht="114.75" x14ac:dyDescent="0.2">
      <c r="A115" s="8" t="str">
        <f>HYPERLINK("http://www.patentics.cn/invokexml.do?sx=showpatent_cn&amp;sf=ShowPatent&amp;spn=US8854224&amp;sx=showpatent_cn&amp;sv=87106de25e93ba984fe0ae5f7c67be1d","US8854224")</f>
        <v>US8854224</v>
      </c>
      <c r="B115" s="9" t="s">
        <v>550</v>
      </c>
      <c r="C115" s="9" t="s">
        <v>551</v>
      </c>
      <c r="D115" s="9" t="s">
        <v>48</v>
      </c>
      <c r="E115" s="9" t="s">
        <v>49</v>
      </c>
      <c r="F115" s="9" t="s">
        <v>552</v>
      </c>
      <c r="G115" s="9" t="s">
        <v>553</v>
      </c>
      <c r="H115" s="9" t="s">
        <v>554</v>
      </c>
      <c r="I115" s="9" t="s">
        <v>555</v>
      </c>
      <c r="J115" s="9" t="s">
        <v>556</v>
      </c>
      <c r="K115" s="9" t="s">
        <v>557</v>
      </c>
      <c r="L115" s="9" t="s">
        <v>558</v>
      </c>
      <c r="M115" s="9">
        <v>37</v>
      </c>
      <c r="N115" s="9">
        <v>9</v>
      </c>
      <c r="O115" s="9" t="s">
        <v>57</v>
      </c>
      <c r="P115" s="9" t="s">
        <v>58</v>
      </c>
      <c r="Q115" s="9">
        <v>382</v>
      </c>
      <c r="R115" s="9">
        <v>25</v>
      </c>
      <c r="S115" s="9">
        <v>357</v>
      </c>
      <c r="T115" s="9">
        <v>175</v>
      </c>
      <c r="U115" s="9">
        <v>4</v>
      </c>
      <c r="V115" s="9" t="s">
        <v>559</v>
      </c>
      <c r="W115" s="9">
        <v>1</v>
      </c>
      <c r="X115" s="9">
        <v>3</v>
      </c>
      <c r="Y115" s="9">
        <v>4</v>
      </c>
      <c r="Z115" s="9">
        <v>1</v>
      </c>
      <c r="AA115" s="9">
        <v>55</v>
      </c>
      <c r="AB115" s="9">
        <v>7</v>
      </c>
      <c r="AC115" s="9">
        <v>14</v>
      </c>
      <c r="AD115" s="9" t="s">
        <v>0</v>
      </c>
      <c r="AE115" s="9" t="s">
        <v>60</v>
      </c>
    </row>
    <row r="116" spans="1:31" ht="204" x14ac:dyDescent="0.2">
      <c r="A116" s="8" t="str">
        <f>HYPERLINK("http://www.patentics.cn/invokexml.do?sx=showpatent_cn&amp;sf=ShowPatent&amp;spn=US8878393&amp;sx=showpatent_cn&amp;sv=dfa57dfd17d718792f1d1edab456722d","US8878393")</f>
        <v>US8878393</v>
      </c>
      <c r="B116" s="9" t="s">
        <v>560</v>
      </c>
      <c r="C116" s="9" t="s">
        <v>561</v>
      </c>
      <c r="D116" s="9" t="s">
        <v>48</v>
      </c>
      <c r="E116" s="9" t="s">
        <v>49</v>
      </c>
      <c r="F116" s="9" t="s">
        <v>562</v>
      </c>
      <c r="G116" s="9" t="s">
        <v>553</v>
      </c>
      <c r="H116" s="9" t="s">
        <v>554</v>
      </c>
      <c r="I116" s="9" t="s">
        <v>555</v>
      </c>
      <c r="J116" s="9" t="s">
        <v>159</v>
      </c>
      <c r="K116" s="9" t="s">
        <v>540</v>
      </c>
      <c r="L116" s="9" t="s">
        <v>563</v>
      </c>
      <c r="M116" s="9">
        <v>30</v>
      </c>
      <c r="N116" s="9">
        <v>16</v>
      </c>
      <c r="O116" s="9" t="s">
        <v>57</v>
      </c>
      <c r="P116" s="9" t="s">
        <v>58</v>
      </c>
      <c r="Q116" s="9">
        <v>397</v>
      </c>
      <c r="R116" s="9">
        <v>26</v>
      </c>
      <c r="S116" s="9">
        <v>371</v>
      </c>
      <c r="T116" s="9">
        <v>179</v>
      </c>
      <c r="U116" s="9">
        <v>10</v>
      </c>
      <c r="V116" s="9" t="s">
        <v>564</v>
      </c>
      <c r="W116" s="9">
        <v>1</v>
      </c>
      <c r="X116" s="9">
        <v>9</v>
      </c>
      <c r="Y116" s="9">
        <v>9</v>
      </c>
      <c r="Z116" s="9">
        <v>2</v>
      </c>
      <c r="AA116" s="9">
        <v>55</v>
      </c>
      <c r="AB116" s="9">
        <v>7</v>
      </c>
      <c r="AC116" s="9">
        <v>14</v>
      </c>
      <c r="AD116" s="9" t="s">
        <v>0</v>
      </c>
      <c r="AE116" s="9" t="s">
        <v>60</v>
      </c>
    </row>
    <row r="117" spans="1:31" ht="89.25" x14ac:dyDescent="0.2">
      <c r="A117" s="8" t="str">
        <f>HYPERLINK("http://www.patentics.cn/invokexml.do?sx=showpatent_cn&amp;sf=ShowPatent&amp;spn=US8892035&amp;sx=showpatent_cn&amp;sv=47cb5050574793b1f9f6e411434b555e","US8892035")</f>
        <v>US8892035</v>
      </c>
      <c r="B117" s="9" t="s">
        <v>565</v>
      </c>
      <c r="C117" s="9" t="s">
        <v>544</v>
      </c>
      <c r="D117" s="9" t="s">
        <v>48</v>
      </c>
      <c r="E117" s="9" t="s">
        <v>49</v>
      </c>
      <c r="F117" s="9" t="s">
        <v>545</v>
      </c>
      <c r="G117" s="9" t="s">
        <v>546</v>
      </c>
      <c r="H117" s="9" t="s">
        <v>537</v>
      </c>
      <c r="I117" s="9" t="s">
        <v>566</v>
      </c>
      <c r="J117" s="9" t="s">
        <v>567</v>
      </c>
      <c r="K117" s="9" t="s">
        <v>89</v>
      </c>
      <c r="L117" s="9" t="s">
        <v>548</v>
      </c>
      <c r="M117" s="9">
        <v>20</v>
      </c>
      <c r="N117" s="9">
        <v>7</v>
      </c>
      <c r="O117" s="9" t="s">
        <v>57</v>
      </c>
      <c r="P117" s="9" t="s">
        <v>58</v>
      </c>
      <c r="Q117" s="9">
        <v>406</v>
      </c>
      <c r="R117" s="9">
        <v>24</v>
      </c>
      <c r="S117" s="9">
        <v>382</v>
      </c>
      <c r="T117" s="9">
        <v>182</v>
      </c>
      <c r="U117" s="9">
        <v>2</v>
      </c>
      <c r="V117" s="9" t="s">
        <v>82</v>
      </c>
      <c r="W117" s="9">
        <v>1</v>
      </c>
      <c r="X117" s="9">
        <v>1</v>
      </c>
      <c r="Y117" s="9">
        <v>2</v>
      </c>
      <c r="Z117" s="9">
        <v>1</v>
      </c>
      <c r="AA117" s="9">
        <v>127</v>
      </c>
      <c r="AB117" s="9">
        <v>7</v>
      </c>
      <c r="AC117" s="9">
        <v>14</v>
      </c>
      <c r="AD117" s="9" t="s">
        <v>0</v>
      </c>
      <c r="AE117" s="9" t="s">
        <v>60</v>
      </c>
    </row>
    <row r="118" spans="1:31" ht="63.75" x14ac:dyDescent="0.2">
      <c r="A118" s="8" t="str">
        <f>HYPERLINK("http://www.patentics.cn/invokexml.do?sx=showpatent_cn&amp;sf=ShowPatent&amp;spn=US8965461&amp;sx=showpatent_cn&amp;sv=82a85bb1ec83f30660262b9ae9a1d3b1","US8965461")</f>
        <v>US8965461</v>
      </c>
      <c r="B118" s="9" t="s">
        <v>568</v>
      </c>
      <c r="C118" s="9" t="s">
        <v>569</v>
      </c>
      <c r="D118" s="9" t="s">
        <v>48</v>
      </c>
      <c r="E118" s="9" t="s">
        <v>49</v>
      </c>
      <c r="F118" s="9" t="s">
        <v>570</v>
      </c>
      <c r="G118" s="9" t="s">
        <v>571</v>
      </c>
      <c r="H118" s="9" t="s">
        <v>537</v>
      </c>
      <c r="I118" s="9" t="s">
        <v>572</v>
      </c>
      <c r="J118" s="9" t="s">
        <v>573</v>
      </c>
      <c r="K118" s="9" t="s">
        <v>229</v>
      </c>
      <c r="L118" s="9" t="s">
        <v>230</v>
      </c>
      <c r="M118" s="9">
        <v>32</v>
      </c>
      <c r="N118" s="9">
        <v>17</v>
      </c>
      <c r="O118" s="9" t="s">
        <v>57</v>
      </c>
      <c r="P118" s="9" t="s">
        <v>58</v>
      </c>
      <c r="Q118" s="9">
        <v>407</v>
      </c>
      <c r="R118" s="9">
        <v>23</v>
      </c>
      <c r="S118" s="9">
        <v>384</v>
      </c>
      <c r="T118" s="9">
        <v>182</v>
      </c>
      <c r="U118" s="9">
        <v>2</v>
      </c>
      <c r="V118" s="9" t="s">
        <v>82</v>
      </c>
      <c r="W118" s="9">
        <v>1</v>
      </c>
      <c r="X118" s="9">
        <v>1</v>
      </c>
      <c r="Y118" s="9">
        <v>2</v>
      </c>
      <c r="Z118" s="9">
        <v>1</v>
      </c>
      <c r="AA118" s="9">
        <v>127</v>
      </c>
      <c r="AB118" s="9">
        <v>7</v>
      </c>
      <c r="AC118" s="9">
        <v>14</v>
      </c>
      <c r="AD118" s="9" t="s">
        <v>0</v>
      </c>
      <c r="AE118" s="9" t="s">
        <v>60</v>
      </c>
    </row>
    <row r="119" spans="1:31" ht="63.75" x14ac:dyDescent="0.2">
      <c r="A119" s="8" t="str">
        <f>HYPERLINK("http://www.patentics.cn/invokexml.do?sx=showpatent_cn&amp;sf=ShowPatent&amp;spn=US9130407&amp;sx=showpatent_cn&amp;sv=7688c8b784f08773bd3fb1cb058fd648","US9130407")</f>
        <v>US9130407</v>
      </c>
      <c r="B119" s="9" t="s">
        <v>574</v>
      </c>
      <c r="C119" s="9" t="s">
        <v>575</v>
      </c>
      <c r="D119" s="9" t="s">
        <v>48</v>
      </c>
      <c r="E119" s="9" t="s">
        <v>49</v>
      </c>
      <c r="F119" s="9" t="s">
        <v>570</v>
      </c>
      <c r="G119" s="9" t="s">
        <v>571</v>
      </c>
      <c r="H119" s="9" t="s">
        <v>537</v>
      </c>
      <c r="I119" s="9" t="s">
        <v>572</v>
      </c>
      <c r="J119" s="9" t="s">
        <v>190</v>
      </c>
      <c r="K119" s="9" t="s">
        <v>89</v>
      </c>
      <c r="L119" s="9" t="s">
        <v>548</v>
      </c>
      <c r="M119" s="9">
        <v>22</v>
      </c>
      <c r="N119" s="9">
        <v>11</v>
      </c>
      <c r="O119" s="9" t="s">
        <v>57</v>
      </c>
      <c r="P119" s="9" t="s">
        <v>58</v>
      </c>
      <c r="Q119" s="9">
        <v>423</v>
      </c>
      <c r="R119" s="9">
        <v>22</v>
      </c>
      <c r="S119" s="9">
        <v>401</v>
      </c>
      <c r="T119" s="9">
        <v>186</v>
      </c>
      <c r="U119" s="9">
        <v>3</v>
      </c>
      <c r="V119" s="9" t="s">
        <v>452</v>
      </c>
      <c r="W119" s="9">
        <v>1</v>
      </c>
      <c r="X119" s="9">
        <v>2</v>
      </c>
      <c r="Y119" s="9">
        <v>2</v>
      </c>
      <c r="Z119" s="9">
        <v>1</v>
      </c>
      <c r="AA119" s="9">
        <v>127</v>
      </c>
      <c r="AB119" s="9">
        <v>7</v>
      </c>
      <c r="AC119" s="9">
        <v>14</v>
      </c>
      <c r="AD119" s="9" t="s">
        <v>0</v>
      </c>
      <c r="AE119" s="9" t="s">
        <v>60</v>
      </c>
    </row>
    <row r="120" spans="1:31" ht="204" x14ac:dyDescent="0.2">
      <c r="A120" s="8" t="str">
        <f>HYPERLINK("http://www.patentics.cn/invokexml.do?sx=showpatent_cn&amp;sf=ShowPatent&amp;spn=US9178387&amp;sx=showpatent_cn&amp;sv=ee6c053374edce95b12701242795ab52","US9178387")</f>
        <v>US9178387</v>
      </c>
      <c r="B120" s="9" t="s">
        <v>576</v>
      </c>
      <c r="C120" s="9" t="s">
        <v>577</v>
      </c>
      <c r="D120" s="9" t="s">
        <v>578</v>
      </c>
      <c r="E120" s="9" t="s">
        <v>49</v>
      </c>
      <c r="F120" s="9" t="s">
        <v>579</v>
      </c>
      <c r="G120" s="9" t="s">
        <v>546</v>
      </c>
      <c r="H120" s="9" t="s">
        <v>537</v>
      </c>
      <c r="I120" s="9" t="s">
        <v>572</v>
      </c>
      <c r="J120" s="9" t="s">
        <v>228</v>
      </c>
      <c r="K120" s="9" t="s">
        <v>580</v>
      </c>
      <c r="L120" s="9" t="s">
        <v>581</v>
      </c>
      <c r="M120" s="9">
        <v>23</v>
      </c>
      <c r="N120" s="9">
        <v>12</v>
      </c>
      <c r="O120" s="9" t="s">
        <v>57</v>
      </c>
      <c r="P120" s="9" t="s">
        <v>58</v>
      </c>
      <c r="Q120" s="9">
        <v>454</v>
      </c>
      <c r="R120" s="9">
        <v>25</v>
      </c>
      <c r="S120" s="9">
        <v>429</v>
      </c>
      <c r="T120" s="9">
        <v>194</v>
      </c>
      <c r="U120" s="9">
        <v>1</v>
      </c>
      <c r="V120" s="9" t="s">
        <v>114</v>
      </c>
      <c r="W120" s="9">
        <v>0</v>
      </c>
      <c r="X120" s="9">
        <v>1</v>
      </c>
      <c r="Y120" s="9">
        <v>1</v>
      </c>
      <c r="Z120" s="9">
        <v>1</v>
      </c>
      <c r="AA120" s="9">
        <v>127</v>
      </c>
      <c r="AB120" s="9">
        <v>7</v>
      </c>
      <c r="AC120" s="9">
        <v>14</v>
      </c>
      <c r="AD120" s="9" t="s">
        <v>0</v>
      </c>
      <c r="AE120" s="9" t="s">
        <v>60</v>
      </c>
    </row>
    <row r="121" spans="1:31" ht="153" x14ac:dyDescent="0.2">
      <c r="A121" s="8" t="str">
        <f>HYPERLINK("http://www.patentics.cn/invokexml.do?sx=showpatent_cn&amp;sf=ShowPatent&amp;spn=US9184632&amp;sx=showpatent_cn&amp;sv=5e7fc65d61ebe74768e1017de98052e7","US9184632")</f>
        <v>US9184632</v>
      </c>
      <c r="B121" s="9" t="s">
        <v>582</v>
      </c>
      <c r="C121" s="9" t="s">
        <v>583</v>
      </c>
      <c r="D121" s="9" t="s">
        <v>48</v>
      </c>
      <c r="E121" s="9" t="s">
        <v>49</v>
      </c>
      <c r="F121" s="9" t="s">
        <v>584</v>
      </c>
      <c r="G121" s="9" t="s">
        <v>585</v>
      </c>
      <c r="H121" s="9" t="s">
        <v>537</v>
      </c>
      <c r="I121" s="9" t="s">
        <v>555</v>
      </c>
      <c r="J121" s="9" t="s">
        <v>235</v>
      </c>
      <c r="K121" s="9" t="s">
        <v>540</v>
      </c>
      <c r="L121" s="9" t="s">
        <v>563</v>
      </c>
      <c r="M121" s="9">
        <v>34</v>
      </c>
      <c r="N121" s="9">
        <v>21</v>
      </c>
      <c r="O121" s="9" t="s">
        <v>57</v>
      </c>
      <c r="P121" s="9" t="s">
        <v>58</v>
      </c>
      <c r="Q121" s="9">
        <v>456</v>
      </c>
      <c r="R121" s="9">
        <v>27</v>
      </c>
      <c r="S121" s="9">
        <v>429</v>
      </c>
      <c r="T121" s="9">
        <v>193</v>
      </c>
      <c r="U121" s="9">
        <v>1</v>
      </c>
      <c r="V121" s="9" t="s">
        <v>114</v>
      </c>
      <c r="W121" s="9">
        <v>0</v>
      </c>
      <c r="X121" s="9">
        <v>1</v>
      </c>
      <c r="Y121" s="9">
        <v>1</v>
      </c>
      <c r="Z121" s="9">
        <v>1</v>
      </c>
      <c r="AA121" s="9">
        <v>127</v>
      </c>
      <c r="AB121" s="9">
        <v>7</v>
      </c>
      <c r="AC121" s="9">
        <v>14</v>
      </c>
      <c r="AD121" s="9" t="s">
        <v>0</v>
      </c>
      <c r="AE121" s="9" t="s">
        <v>60</v>
      </c>
    </row>
    <row r="122" spans="1:31" ht="51" x14ac:dyDescent="0.2">
      <c r="A122" s="8" t="str">
        <f>HYPERLINK("http://www.patentics.cn/invokexml.do?sx=showpatent_cn&amp;sf=ShowPatent&amp;spn=US9190875&amp;sx=showpatent_cn&amp;sv=5ef92b2b74442cc9012d0b77841f99e1","US9190875")</f>
        <v>US9190875</v>
      </c>
      <c r="B122" s="9" t="s">
        <v>586</v>
      </c>
      <c r="C122" s="9" t="s">
        <v>587</v>
      </c>
      <c r="D122" s="9" t="s">
        <v>48</v>
      </c>
      <c r="E122" s="9" t="s">
        <v>49</v>
      </c>
      <c r="F122" s="9" t="s">
        <v>546</v>
      </c>
      <c r="G122" s="9" t="s">
        <v>546</v>
      </c>
      <c r="H122" s="9" t="s">
        <v>537</v>
      </c>
      <c r="I122" s="9" t="s">
        <v>547</v>
      </c>
      <c r="J122" s="9" t="s">
        <v>588</v>
      </c>
      <c r="K122" s="9" t="s">
        <v>580</v>
      </c>
      <c r="L122" s="9" t="s">
        <v>589</v>
      </c>
      <c r="M122" s="9">
        <v>31</v>
      </c>
      <c r="N122" s="9">
        <v>12</v>
      </c>
      <c r="O122" s="9" t="s">
        <v>57</v>
      </c>
      <c r="P122" s="9" t="s">
        <v>58</v>
      </c>
      <c r="Q122" s="9">
        <v>452</v>
      </c>
      <c r="R122" s="9">
        <v>25</v>
      </c>
      <c r="S122" s="9">
        <v>427</v>
      </c>
      <c r="T122" s="9">
        <v>194</v>
      </c>
      <c r="U122" s="9">
        <v>0</v>
      </c>
      <c r="V122" s="9" t="s">
        <v>114</v>
      </c>
      <c r="W122" s="9">
        <v>0</v>
      </c>
      <c r="X122" s="9">
        <v>0</v>
      </c>
      <c r="Y122" s="9">
        <v>0</v>
      </c>
      <c r="Z122" s="9">
        <v>0</v>
      </c>
      <c r="AA122" s="9">
        <v>127</v>
      </c>
      <c r="AB122" s="9">
        <v>7</v>
      </c>
      <c r="AC122" s="9">
        <v>14</v>
      </c>
      <c r="AD122" s="9" t="s">
        <v>0</v>
      </c>
      <c r="AE122" s="9" t="s">
        <v>60</v>
      </c>
    </row>
    <row r="123" spans="1:31" ht="89.25" x14ac:dyDescent="0.2">
      <c r="A123" s="8" t="str">
        <f>HYPERLINK("http://www.patentics.cn/invokexml.do?sx=showpatent_cn&amp;sf=ShowPatent&amp;spn=US9236771&amp;sx=showpatent_cn&amp;sv=07eb51de33442161aa2ecd346e8ff286","US9236771")</f>
        <v>US9236771</v>
      </c>
      <c r="B123" s="9" t="s">
        <v>590</v>
      </c>
      <c r="C123" s="9" t="s">
        <v>591</v>
      </c>
      <c r="D123" s="9" t="s">
        <v>48</v>
      </c>
      <c r="E123" s="9" t="s">
        <v>49</v>
      </c>
      <c r="F123" s="9" t="s">
        <v>592</v>
      </c>
      <c r="G123" s="9" t="s">
        <v>593</v>
      </c>
      <c r="H123" s="9" t="s">
        <v>537</v>
      </c>
      <c r="I123" s="9" t="s">
        <v>547</v>
      </c>
      <c r="J123" s="9" t="s">
        <v>594</v>
      </c>
      <c r="K123" s="9" t="s">
        <v>89</v>
      </c>
      <c r="L123" s="9" t="s">
        <v>465</v>
      </c>
      <c r="M123" s="9">
        <v>24</v>
      </c>
      <c r="N123" s="9">
        <v>20</v>
      </c>
      <c r="O123" s="9" t="s">
        <v>57</v>
      </c>
      <c r="P123" s="9" t="s">
        <v>58</v>
      </c>
      <c r="Q123" s="9">
        <v>451</v>
      </c>
      <c r="R123" s="9">
        <v>25</v>
      </c>
      <c r="S123" s="9">
        <v>426</v>
      </c>
      <c r="T123" s="9">
        <v>192</v>
      </c>
      <c r="U123" s="9">
        <v>0</v>
      </c>
      <c r="V123" s="9" t="s">
        <v>114</v>
      </c>
      <c r="W123" s="9">
        <v>0</v>
      </c>
      <c r="X123" s="9">
        <v>0</v>
      </c>
      <c r="Y123" s="9">
        <v>0</v>
      </c>
      <c r="Z123" s="9">
        <v>0</v>
      </c>
      <c r="AA123" s="9">
        <v>127</v>
      </c>
      <c r="AB123" s="9">
        <v>7</v>
      </c>
      <c r="AC123" s="9">
        <v>14</v>
      </c>
      <c r="AD123" s="9" t="s">
        <v>0</v>
      </c>
      <c r="AE123" s="9" t="s">
        <v>60</v>
      </c>
    </row>
    <row r="124" spans="1:31" ht="76.5" x14ac:dyDescent="0.2">
      <c r="A124" s="8" t="str">
        <f>HYPERLINK("http://www.patentics.cn/invokexml.do?sx=showpatent_cn&amp;sf=ShowPatent&amp;spn=US9312924&amp;sx=showpatent_cn&amp;sv=0d242856816f17599978eefa6bcd7cf4","US9312924")</f>
        <v>US9312924</v>
      </c>
      <c r="B124" s="9" t="s">
        <v>595</v>
      </c>
      <c r="C124" s="9" t="s">
        <v>596</v>
      </c>
      <c r="D124" s="9" t="s">
        <v>48</v>
      </c>
      <c r="E124" s="9" t="s">
        <v>49</v>
      </c>
      <c r="F124" s="9" t="s">
        <v>597</v>
      </c>
      <c r="G124" s="9" t="s">
        <v>598</v>
      </c>
      <c r="H124" s="9" t="s">
        <v>554</v>
      </c>
      <c r="I124" s="9" t="s">
        <v>599</v>
      </c>
      <c r="J124" s="9" t="s">
        <v>600</v>
      </c>
      <c r="K124" s="9" t="s">
        <v>580</v>
      </c>
      <c r="L124" s="9" t="s">
        <v>581</v>
      </c>
      <c r="M124" s="9">
        <v>34</v>
      </c>
      <c r="N124" s="9">
        <v>11</v>
      </c>
      <c r="O124" s="9" t="s">
        <v>57</v>
      </c>
      <c r="P124" s="9" t="s">
        <v>58</v>
      </c>
      <c r="Q124" s="9">
        <v>458</v>
      </c>
      <c r="R124" s="9">
        <v>27</v>
      </c>
      <c r="S124" s="9">
        <v>431</v>
      </c>
      <c r="T124" s="9">
        <v>195</v>
      </c>
      <c r="U124" s="9">
        <v>0</v>
      </c>
      <c r="V124" s="9" t="s">
        <v>114</v>
      </c>
      <c r="W124" s="9">
        <v>0</v>
      </c>
      <c r="X124" s="9">
        <v>0</v>
      </c>
      <c r="Y124" s="9">
        <v>0</v>
      </c>
      <c r="Z124" s="9">
        <v>0</v>
      </c>
      <c r="AA124" s="9">
        <v>55</v>
      </c>
      <c r="AB124" s="9">
        <v>7</v>
      </c>
      <c r="AC124" s="9">
        <v>14</v>
      </c>
      <c r="AD124" s="9" t="s">
        <v>0</v>
      </c>
      <c r="AE124" s="9" t="s">
        <v>60</v>
      </c>
    </row>
    <row r="125" spans="1:31" ht="89.25" x14ac:dyDescent="0.2">
      <c r="A125" s="8" t="str">
        <f>HYPERLINK("http://www.patentics.cn/invokexml.do?sx=showpatent_cn&amp;sf=ShowPatent&amp;spn=US9583953&amp;sx=showpatent_cn&amp;sv=461c9d555bc0f9f96223efe9a97607a9","US9583953")</f>
        <v>US9583953</v>
      </c>
      <c r="B125" s="9" t="s">
        <v>601</v>
      </c>
      <c r="C125" s="9" t="s">
        <v>602</v>
      </c>
      <c r="D125" s="9" t="s">
        <v>48</v>
      </c>
      <c r="E125" s="9" t="s">
        <v>49</v>
      </c>
      <c r="F125" s="9" t="s">
        <v>603</v>
      </c>
      <c r="G125" s="9" t="s">
        <v>536</v>
      </c>
      <c r="H125" s="9" t="s">
        <v>554</v>
      </c>
      <c r="I125" s="9" t="s">
        <v>604</v>
      </c>
      <c r="J125" s="9" t="s">
        <v>605</v>
      </c>
      <c r="K125" s="9" t="s">
        <v>580</v>
      </c>
      <c r="L125" s="9" t="s">
        <v>581</v>
      </c>
      <c r="M125" s="9">
        <v>28</v>
      </c>
      <c r="N125" s="9">
        <v>13</v>
      </c>
      <c r="O125" s="9" t="s">
        <v>57</v>
      </c>
      <c r="P125" s="9" t="s">
        <v>58</v>
      </c>
      <c r="Q125" s="9">
        <v>468</v>
      </c>
      <c r="R125" s="9">
        <v>28</v>
      </c>
      <c r="S125" s="9">
        <v>440</v>
      </c>
      <c r="T125" s="9">
        <v>197</v>
      </c>
      <c r="U125" s="9">
        <v>0</v>
      </c>
      <c r="V125" s="9" t="s">
        <v>114</v>
      </c>
      <c r="W125" s="9">
        <v>0</v>
      </c>
      <c r="X125" s="9">
        <v>0</v>
      </c>
      <c r="Y125" s="9">
        <v>0</v>
      </c>
      <c r="Z125" s="9">
        <v>0</v>
      </c>
      <c r="AA125" s="9">
        <v>55</v>
      </c>
      <c r="AB125" s="9">
        <v>7</v>
      </c>
      <c r="AC125" s="9">
        <v>14</v>
      </c>
      <c r="AD125" s="9" t="s">
        <v>0</v>
      </c>
      <c r="AE125" s="9" t="s">
        <v>60</v>
      </c>
    </row>
    <row r="126" spans="1:31" ht="51" x14ac:dyDescent="0.2">
      <c r="A126" s="6" t="str">
        <f>HYPERLINK("http://www.patentics.cn/invokexml.do?sx=showpatent_cn&amp;sf=ShowPatent&amp;spn=CN1449990&amp;sx=showpatent_cn&amp;sv=10ecc5848bdfa7bb991b632ebd4e0aad","CN1449990")</f>
        <v>CN1449990</v>
      </c>
      <c r="B126" s="7" t="s">
        <v>606</v>
      </c>
      <c r="C126" s="7" t="s">
        <v>607</v>
      </c>
      <c r="D126" s="7" t="s">
        <v>432</v>
      </c>
      <c r="E126" s="7" t="s">
        <v>432</v>
      </c>
      <c r="F126" s="7" t="s">
        <v>608</v>
      </c>
      <c r="G126" s="7" t="s">
        <v>609</v>
      </c>
      <c r="H126" s="7" t="s">
        <v>610</v>
      </c>
      <c r="I126" s="7" t="s">
        <v>610</v>
      </c>
      <c r="J126" s="7" t="s">
        <v>611</v>
      </c>
      <c r="K126" s="7" t="s">
        <v>612</v>
      </c>
      <c r="L126" s="7" t="s">
        <v>613</v>
      </c>
      <c r="M126" s="7">
        <v>8</v>
      </c>
      <c r="N126" s="7">
        <v>20</v>
      </c>
      <c r="O126" s="7" t="s">
        <v>42</v>
      </c>
      <c r="P126" s="7" t="s">
        <v>43</v>
      </c>
      <c r="Q126" s="7">
        <v>0</v>
      </c>
      <c r="R126" s="7">
        <v>0</v>
      </c>
      <c r="S126" s="7">
        <v>0</v>
      </c>
      <c r="T126" s="7">
        <v>0</v>
      </c>
      <c r="U126" s="7">
        <v>17</v>
      </c>
      <c r="V126" s="7" t="s">
        <v>614</v>
      </c>
      <c r="W126" s="7">
        <v>0</v>
      </c>
      <c r="X126" s="7">
        <v>17</v>
      </c>
      <c r="Y126" s="7">
        <v>4</v>
      </c>
      <c r="Z126" s="7">
        <v>2</v>
      </c>
      <c r="AA126" s="7">
        <v>1</v>
      </c>
      <c r="AB126" s="7">
        <v>1</v>
      </c>
      <c r="AC126" s="7" t="s">
        <v>0</v>
      </c>
      <c r="AD126" s="7">
        <v>13</v>
      </c>
      <c r="AE126" s="7" t="s">
        <v>532</v>
      </c>
    </row>
    <row r="127" spans="1:31" ht="25.5" x14ac:dyDescent="0.2">
      <c r="A127" s="8" t="str">
        <f>HYPERLINK("http://www.patentics.cn/invokexml.do?sx=showpatent_cn&amp;sf=ShowPatent&amp;spn=US7668415&amp;sx=showpatent_cn&amp;sv=c7dcc1173fbbbf7863afb23b6f67cf12","US7668415")</f>
        <v>US7668415</v>
      </c>
      <c r="B127" s="9" t="s">
        <v>615</v>
      </c>
      <c r="C127" s="9" t="s">
        <v>616</v>
      </c>
      <c r="D127" s="9" t="s">
        <v>617</v>
      </c>
      <c r="E127" s="9" t="s">
        <v>49</v>
      </c>
      <c r="F127" s="9" t="s">
        <v>618</v>
      </c>
      <c r="G127" s="9" t="s">
        <v>618</v>
      </c>
      <c r="H127" s="9" t="s">
        <v>619</v>
      </c>
      <c r="I127" s="9" t="s">
        <v>620</v>
      </c>
      <c r="J127" s="9" t="s">
        <v>621</v>
      </c>
      <c r="K127" s="9" t="s">
        <v>622</v>
      </c>
      <c r="L127" s="9" t="s">
        <v>623</v>
      </c>
      <c r="M127" s="9">
        <v>24</v>
      </c>
      <c r="N127" s="9">
        <v>18</v>
      </c>
      <c r="O127" s="9" t="s">
        <v>57</v>
      </c>
      <c r="P127" s="9" t="s">
        <v>58</v>
      </c>
      <c r="Q127" s="9">
        <v>405</v>
      </c>
      <c r="R127" s="9">
        <v>25</v>
      </c>
      <c r="S127" s="9">
        <v>380</v>
      </c>
      <c r="T127" s="9">
        <v>97</v>
      </c>
      <c r="U127" s="9">
        <v>27</v>
      </c>
      <c r="V127" s="9" t="s">
        <v>624</v>
      </c>
      <c r="W127" s="9">
        <v>10</v>
      </c>
      <c r="X127" s="9">
        <v>17</v>
      </c>
      <c r="Y127" s="9">
        <v>5</v>
      </c>
      <c r="Z127" s="9">
        <v>3</v>
      </c>
      <c r="AA127" s="9">
        <v>24</v>
      </c>
      <c r="AB127" s="9">
        <v>12</v>
      </c>
      <c r="AC127" s="9">
        <v>14</v>
      </c>
      <c r="AD127" s="9" t="s">
        <v>0</v>
      </c>
      <c r="AE127" s="9" t="s">
        <v>60</v>
      </c>
    </row>
    <row r="128" spans="1:31" ht="51" x14ac:dyDescent="0.2">
      <c r="A128" s="8" t="str">
        <f>HYPERLINK("http://www.patentics.cn/invokexml.do?sx=showpatent_cn&amp;sf=ShowPatent&amp;spn=US7701631&amp;sx=showpatent_cn&amp;sv=3a95f5005525ab50acff2077bf61eb3b","US7701631")</f>
        <v>US7701631</v>
      </c>
      <c r="B128" s="9" t="s">
        <v>625</v>
      </c>
      <c r="C128" s="9" t="s">
        <v>626</v>
      </c>
      <c r="D128" s="9" t="s">
        <v>617</v>
      </c>
      <c r="E128" s="9" t="s">
        <v>49</v>
      </c>
      <c r="F128" s="9" t="s">
        <v>627</v>
      </c>
      <c r="G128" s="9" t="s">
        <v>628</v>
      </c>
      <c r="H128" s="9" t="s">
        <v>619</v>
      </c>
      <c r="I128" s="9" t="s">
        <v>629</v>
      </c>
      <c r="J128" s="9" t="s">
        <v>630</v>
      </c>
      <c r="K128" s="9" t="s">
        <v>622</v>
      </c>
      <c r="L128" s="9" t="s">
        <v>631</v>
      </c>
      <c r="M128" s="9">
        <v>23</v>
      </c>
      <c r="N128" s="9">
        <v>11</v>
      </c>
      <c r="O128" s="9" t="s">
        <v>57</v>
      </c>
      <c r="P128" s="9" t="s">
        <v>58</v>
      </c>
      <c r="Q128" s="9">
        <v>412</v>
      </c>
      <c r="R128" s="9">
        <v>25</v>
      </c>
      <c r="S128" s="9">
        <v>387</v>
      </c>
      <c r="T128" s="9">
        <v>98</v>
      </c>
      <c r="U128" s="9">
        <v>18</v>
      </c>
      <c r="V128" s="9" t="s">
        <v>632</v>
      </c>
      <c r="W128" s="9">
        <v>2</v>
      </c>
      <c r="X128" s="9">
        <v>16</v>
      </c>
      <c r="Y128" s="9">
        <v>5</v>
      </c>
      <c r="Z128" s="9">
        <v>3</v>
      </c>
      <c r="AA128" s="9">
        <v>11</v>
      </c>
      <c r="AB128" s="9">
        <v>11</v>
      </c>
      <c r="AC128" s="9">
        <v>14</v>
      </c>
      <c r="AD128" s="9" t="s">
        <v>0</v>
      </c>
      <c r="AE128" s="9" t="s">
        <v>60</v>
      </c>
    </row>
    <row r="129" spans="1:31" ht="51" x14ac:dyDescent="0.2">
      <c r="A129" s="8" t="str">
        <f>HYPERLINK("http://www.patentics.cn/invokexml.do?sx=showpatent_cn&amp;sf=ShowPatent&amp;spn=US7746537&amp;sx=showpatent_cn&amp;sv=9a44f2cf78505bbcc991acce1aa67ddf","US7746537")</f>
        <v>US7746537</v>
      </c>
      <c r="B129" s="9" t="s">
        <v>633</v>
      </c>
      <c r="C129" s="9" t="s">
        <v>634</v>
      </c>
      <c r="D129" s="9" t="s">
        <v>617</v>
      </c>
      <c r="E129" s="9" t="s">
        <v>49</v>
      </c>
      <c r="F129" s="9" t="s">
        <v>635</v>
      </c>
      <c r="G129" s="9" t="s">
        <v>636</v>
      </c>
      <c r="H129" s="9" t="s">
        <v>637</v>
      </c>
      <c r="I129" s="9" t="s">
        <v>638</v>
      </c>
      <c r="J129" s="9" t="s">
        <v>639</v>
      </c>
      <c r="K129" s="9" t="s">
        <v>622</v>
      </c>
      <c r="L129" s="9" t="s">
        <v>631</v>
      </c>
      <c r="M129" s="9">
        <v>25</v>
      </c>
      <c r="N129" s="9">
        <v>9</v>
      </c>
      <c r="O129" s="9" t="s">
        <v>57</v>
      </c>
      <c r="P129" s="9" t="s">
        <v>58</v>
      </c>
      <c r="Q129" s="9">
        <v>242</v>
      </c>
      <c r="R129" s="9">
        <v>20</v>
      </c>
      <c r="S129" s="9">
        <v>222</v>
      </c>
      <c r="T129" s="9">
        <v>94</v>
      </c>
      <c r="U129" s="9">
        <v>13</v>
      </c>
      <c r="V129" s="9" t="s">
        <v>640</v>
      </c>
      <c r="W129" s="9">
        <v>8</v>
      </c>
      <c r="X129" s="9">
        <v>5</v>
      </c>
      <c r="Y129" s="9">
        <v>5</v>
      </c>
      <c r="Z129" s="9">
        <v>1</v>
      </c>
      <c r="AA129" s="9">
        <v>6</v>
      </c>
      <c r="AB129" s="9">
        <v>3</v>
      </c>
      <c r="AC129" s="9">
        <v>14</v>
      </c>
      <c r="AD129" s="9" t="s">
        <v>0</v>
      </c>
      <c r="AE129" s="9" t="s">
        <v>60</v>
      </c>
    </row>
    <row r="130" spans="1:31" ht="25.5" x14ac:dyDescent="0.2">
      <c r="A130" s="8" t="str">
        <f>HYPERLINK("http://www.patentics.cn/invokexml.do?sx=showpatent_cn&amp;sf=ShowPatent&amp;spn=US7933476&amp;sx=showpatent_cn&amp;sv=204f0747d6ea030eaf2a0cc8849f5f7f","US7933476")</f>
        <v>US7933476</v>
      </c>
      <c r="B130" s="9" t="s">
        <v>641</v>
      </c>
      <c r="C130" s="9" t="s">
        <v>616</v>
      </c>
      <c r="D130" s="9" t="s">
        <v>617</v>
      </c>
      <c r="E130" s="9" t="s">
        <v>49</v>
      </c>
      <c r="F130" s="9" t="s">
        <v>618</v>
      </c>
      <c r="G130" s="9" t="s">
        <v>618</v>
      </c>
      <c r="H130" s="9" t="s">
        <v>619</v>
      </c>
      <c r="I130" s="9" t="s">
        <v>642</v>
      </c>
      <c r="J130" s="9" t="s">
        <v>643</v>
      </c>
      <c r="K130" s="9" t="s">
        <v>622</v>
      </c>
      <c r="L130" s="9" t="s">
        <v>644</v>
      </c>
      <c r="M130" s="9">
        <v>17</v>
      </c>
      <c r="N130" s="9">
        <v>13</v>
      </c>
      <c r="O130" s="9" t="s">
        <v>57</v>
      </c>
      <c r="P130" s="9" t="s">
        <v>58</v>
      </c>
      <c r="Q130" s="9">
        <v>172</v>
      </c>
      <c r="R130" s="9">
        <v>15</v>
      </c>
      <c r="S130" s="9">
        <v>157</v>
      </c>
      <c r="T130" s="9">
        <v>71</v>
      </c>
      <c r="U130" s="9">
        <v>5</v>
      </c>
      <c r="V130" s="9" t="s">
        <v>645</v>
      </c>
      <c r="W130" s="9">
        <v>4</v>
      </c>
      <c r="X130" s="9">
        <v>1</v>
      </c>
      <c r="Y130" s="9">
        <v>2</v>
      </c>
      <c r="Z130" s="9">
        <v>1</v>
      </c>
      <c r="AA130" s="9">
        <v>24</v>
      </c>
      <c r="AB130" s="9">
        <v>12</v>
      </c>
      <c r="AC130" s="9">
        <v>14</v>
      </c>
      <c r="AD130" s="9" t="s">
        <v>0</v>
      </c>
      <c r="AE130" s="9" t="s">
        <v>60</v>
      </c>
    </row>
    <row r="131" spans="1:31" ht="38.25" x14ac:dyDescent="0.2">
      <c r="A131" s="8" t="str">
        <f>HYPERLINK("http://www.patentics.cn/invokexml.do?sx=showpatent_cn&amp;sf=ShowPatent&amp;spn=US7978396&amp;sx=showpatent_cn&amp;sv=d4da5d5bcde3ae56fb7398022bd4d4ac","US7978396")</f>
        <v>US7978396</v>
      </c>
      <c r="B131" s="9" t="s">
        <v>646</v>
      </c>
      <c r="C131" s="9" t="s">
        <v>647</v>
      </c>
      <c r="D131" s="9" t="s">
        <v>648</v>
      </c>
      <c r="E131" s="9" t="s">
        <v>49</v>
      </c>
      <c r="F131" s="9" t="s">
        <v>649</v>
      </c>
      <c r="G131" s="9" t="s">
        <v>649</v>
      </c>
      <c r="H131" s="9" t="s">
        <v>650</v>
      </c>
      <c r="I131" s="9" t="s">
        <v>651</v>
      </c>
      <c r="J131" s="9" t="s">
        <v>652</v>
      </c>
      <c r="K131" s="9" t="s">
        <v>622</v>
      </c>
      <c r="L131" s="9" t="s">
        <v>631</v>
      </c>
      <c r="M131" s="9">
        <v>19</v>
      </c>
      <c r="N131" s="9">
        <v>3</v>
      </c>
      <c r="O131" s="9" t="s">
        <v>57</v>
      </c>
      <c r="P131" s="9" t="s">
        <v>653</v>
      </c>
      <c r="Q131" s="9">
        <v>160</v>
      </c>
      <c r="R131" s="9">
        <v>14</v>
      </c>
      <c r="S131" s="9">
        <v>146</v>
      </c>
      <c r="T131" s="9">
        <v>71</v>
      </c>
      <c r="U131" s="9">
        <v>2</v>
      </c>
      <c r="V131" s="9" t="s">
        <v>114</v>
      </c>
      <c r="W131" s="9">
        <v>2</v>
      </c>
      <c r="X131" s="9">
        <v>0</v>
      </c>
      <c r="Y131" s="9">
        <v>1</v>
      </c>
      <c r="Z131" s="9">
        <v>1</v>
      </c>
      <c r="AA131" s="9">
        <v>9</v>
      </c>
      <c r="AB131" s="9">
        <v>4</v>
      </c>
      <c r="AC131" s="9">
        <v>14</v>
      </c>
      <c r="AD131" s="9" t="s">
        <v>0</v>
      </c>
      <c r="AE131" s="9" t="s">
        <v>60</v>
      </c>
    </row>
    <row r="132" spans="1:31" ht="127.5" x14ac:dyDescent="0.2">
      <c r="A132" s="8" t="str">
        <f>HYPERLINK("http://www.patentics.cn/invokexml.do?sx=showpatent_cn&amp;sf=ShowPatent&amp;spn=US8004736&amp;sx=showpatent_cn&amp;sv=6ed12ed12663c422c5427066d2d5280a","US8004736")</f>
        <v>US8004736</v>
      </c>
      <c r="B132" s="9" t="s">
        <v>654</v>
      </c>
      <c r="C132" s="9" t="s">
        <v>655</v>
      </c>
      <c r="D132" s="9" t="s">
        <v>648</v>
      </c>
      <c r="E132" s="9" t="s">
        <v>49</v>
      </c>
      <c r="F132" s="9" t="s">
        <v>656</v>
      </c>
      <c r="G132" s="9" t="s">
        <v>657</v>
      </c>
      <c r="H132" s="9" t="s">
        <v>658</v>
      </c>
      <c r="I132" s="9" t="s">
        <v>659</v>
      </c>
      <c r="J132" s="9" t="s">
        <v>660</v>
      </c>
      <c r="K132" s="9" t="s">
        <v>622</v>
      </c>
      <c r="L132" s="9" t="s">
        <v>631</v>
      </c>
      <c r="M132" s="9">
        <v>18</v>
      </c>
      <c r="N132" s="9">
        <v>12</v>
      </c>
      <c r="O132" s="9" t="s">
        <v>57</v>
      </c>
      <c r="P132" s="9" t="s">
        <v>653</v>
      </c>
      <c r="Q132" s="9">
        <v>161</v>
      </c>
      <c r="R132" s="9">
        <v>14</v>
      </c>
      <c r="S132" s="9">
        <v>147</v>
      </c>
      <c r="T132" s="9">
        <v>72</v>
      </c>
      <c r="U132" s="9">
        <v>0</v>
      </c>
      <c r="V132" s="9" t="s">
        <v>114</v>
      </c>
      <c r="W132" s="9">
        <v>0</v>
      </c>
      <c r="X132" s="9">
        <v>0</v>
      </c>
      <c r="Y132" s="9">
        <v>0</v>
      </c>
      <c r="Z132" s="9">
        <v>0</v>
      </c>
      <c r="AA132" s="9">
        <v>8</v>
      </c>
      <c r="AB132" s="9">
        <v>4</v>
      </c>
      <c r="AC132" s="9">
        <v>14</v>
      </c>
      <c r="AD132" s="9" t="s">
        <v>0</v>
      </c>
      <c r="AE132" s="9" t="s">
        <v>60</v>
      </c>
    </row>
    <row r="133" spans="1:31" ht="165.75" x14ac:dyDescent="0.2">
      <c r="A133" s="8" t="str">
        <f>HYPERLINK("http://www.patentics.cn/invokexml.do?sx=showpatent_cn&amp;sf=ShowPatent&amp;spn=US8045835&amp;sx=showpatent_cn&amp;sv=def5b3f9183a9f26ad5966517aaf8fa8","US8045835")</f>
        <v>US8045835</v>
      </c>
      <c r="B133" s="9" t="s">
        <v>661</v>
      </c>
      <c r="C133" s="9" t="s">
        <v>662</v>
      </c>
      <c r="D133" s="9" t="s">
        <v>617</v>
      </c>
      <c r="E133" s="9" t="s">
        <v>49</v>
      </c>
      <c r="F133" s="9" t="s">
        <v>663</v>
      </c>
      <c r="G133" s="9" t="s">
        <v>664</v>
      </c>
      <c r="H133" s="9" t="s">
        <v>619</v>
      </c>
      <c r="I133" s="9" t="s">
        <v>665</v>
      </c>
      <c r="J133" s="9" t="s">
        <v>666</v>
      </c>
      <c r="K133" s="9" t="s">
        <v>622</v>
      </c>
      <c r="L133" s="9" t="s">
        <v>667</v>
      </c>
      <c r="M133" s="9">
        <v>20</v>
      </c>
      <c r="N133" s="9">
        <v>4</v>
      </c>
      <c r="O133" s="9" t="s">
        <v>57</v>
      </c>
      <c r="P133" s="9" t="s">
        <v>58</v>
      </c>
      <c r="Q133" s="9">
        <v>188</v>
      </c>
      <c r="R133" s="9">
        <v>14</v>
      </c>
      <c r="S133" s="9">
        <v>174</v>
      </c>
      <c r="T133" s="9">
        <v>77</v>
      </c>
      <c r="U133" s="9">
        <v>3</v>
      </c>
      <c r="V133" s="9" t="s">
        <v>668</v>
      </c>
      <c r="W133" s="9">
        <v>2</v>
      </c>
      <c r="X133" s="9">
        <v>1</v>
      </c>
      <c r="Y133" s="9">
        <v>2</v>
      </c>
      <c r="Z133" s="9">
        <v>1</v>
      </c>
      <c r="AA133" s="9">
        <v>26</v>
      </c>
      <c r="AB133" s="9">
        <v>13</v>
      </c>
      <c r="AC133" s="9">
        <v>14</v>
      </c>
      <c r="AD133" s="9" t="s">
        <v>0</v>
      </c>
      <c r="AE133" s="9" t="s">
        <v>60</v>
      </c>
    </row>
    <row r="134" spans="1:31" ht="25.5" x14ac:dyDescent="0.2">
      <c r="A134" s="8" t="str">
        <f>HYPERLINK("http://www.patentics.cn/invokexml.do?sx=showpatent_cn&amp;sf=ShowPatent&amp;spn=US8090229&amp;sx=showpatent_cn&amp;sv=728ec8b7544d84343f21e18b40ab9bfd","US8090229")</f>
        <v>US8090229</v>
      </c>
      <c r="B134" s="9" t="s">
        <v>669</v>
      </c>
      <c r="C134" s="9" t="s">
        <v>616</v>
      </c>
      <c r="D134" s="9" t="s">
        <v>617</v>
      </c>
      <c r="E134" s="9" t="s">
        <v>49</v>
      </c>
      <c r="F134" s="9" t="s">
        <v>618</v>
      </c>
      <c r="G134" s="9" t="s">
        <v>618</v>
      </c>
      <c r="H134" s="9" t="s">
        <v>619</v>
      </c>
      <c r="I134" s="9" t="s">
        <v>670</v>
      </c>
      <c r="J134" s="9" t="s">
        <v>671</v>
      </c>
      <c r="K134" s="9" t="s">
        <v>622</v>
      </c>
      <c r="L134" s="9" t="s">
        <v>644</v>
      </c>
      <c r="M134" s="9">
        <v>17</v>
      </c>
      <c r="N134" s="9">
        <v>11</v>
      </c>
      <c r="O134" s="9" t="s">
        <v>57</v>
      </c>
      <c r="P134" s="9" t="s">
        <v>58</v>
      </c>
      <c r="Q134" s="9">
        <v>195</v>
      </c>
      <c r="R134" s="9">
        <v>15</v>
      </c>
      <c r="S134" s="9">
        <v>180</v>
      </c>
      <c r="T134" s="9">
        <v>79</v>
      </c>
      <c r="U134" s="9">
        <v>2</v>
      </c>
      <c r="V134" s="9" t="s">
        <v>672</v>
      </c>
      <c r="W134" s="9">
        <v>2</v>
      </c>
      <c r="X134" s="9">
        <v>0</v>
      </c>
      <c r="Y134" s="9">
        <v>1</v>
      </c>
      <c r="Z134" s="9">
        <v>1</v>
      </c>
      <c r="AA134" s="9">
        <v>24</v>
      </c>
      <c r="AB134" s="9">
        <v>12</v>
      </c>
      <c r="AC134" s="9">
        <v>14</v>
      </c>
      <c r="AD134" s="9" t="s">
        <v>0</v>
      </c>
      <c r="AE134" s="9" t="s">
        <v>532</v>
      </c>
    </row>
    <row r="135" spans="1:31" ht="51" x14ac:dyDescent="0.2">
      <c r="A135" s="8" t="str">
        <f>HYPERLINK("http://www.patentics.cn/invokexml.do?sx=showpatent_cn&amp;sf=ShowPatent&amp;spn=US8115983&amp;sx=showpatent_cn&amp;sv=85320275549719ccc8d176c630903b2c","US8115983")</f>
        <v>US8115983</v>
      </c>
      <c r="B135" s="9" t="s">
        <v>673</v>
      </c>
      <c r="C135" s="9" t="s">
        <v>674</v>
      </c>
      <c r="D135" s="9" t="s">
        <v>617</v>
      </c>
      <c r="E135" s="9" t="s">
        <v>49</v>
      </c>
      <c r="F135" s="9" t="s">
        <v>675</v>
      </c>
      <c r="G135" s="9" t="s">
        <v>676</v>
      </c>
      <c r="H135" s="9" t="s">
        <v>619</v>
      </c>
      <c r="I135" s="9" t="s">
        <v>677</v>
      </c>
      <c r="J135" s="9" t="s">
        <v>678</v>
      </c>
      <c r="K135" s="9" t="s">
        <v>622</v>
      </c>
      <c r="L135" s="9" t="s">
        <v>631</v>
      </c>
      <c r="M135" s="9">
        <v>12</v>
      </c>
      <c r="N135" s="9">
        <v>11</v>
      </c>
      <c r="O135" s="9" t="s">
        <v>57</v>
      </c>
      <c r="P135" s="9" t="s">
        <v>58</v>
      </c>
      <c r="Q135" s="9">
        <v>187</v>
      </c>
      <c r="R135" s="9">
        <v>15</v>
      </c>
      <c r="S135" s="9">
        <v>172</v>
      </c>
      <c r="T135" s="9">
        <v>78</v>
      </c>
      <c r="U135" s="9">
        <v>1</v>
      </c>
      <c r="V135" s="9" t="s">
        <v>466</v>
      </c>
      <c r="W135" s="9">
        <v>1</v>
      </c>
      <c r="X135" s="9">
        <v>0</v>
      </c>
      <c r="Y135" s="9">
        <v>1</v>
      </c>
      <c r="Z135" s="9">
        <v>1</v>
      </c>
      <c r="AA135" s="9">
        <v>29</v>
      </c>
      <c r="AB135" s="9">
        <v>12</v>
      </c>
      <c r="AC135" s="9">
        <v>14</v>
      </c>
      <c r="AD135" s="9" t="s">
        <v>0</v>
      </c>
      <c r="AE135" s="9" t="s">
        <v>532</v>
      </c>
    </row>
    <row r="136" spans="1:31" ht="114.75" x14ac:dyDescent="0.2">
      <c r="A136" s="8" t="str">
        <f>HYPERLINK("http://www.patentics.cn/invokexml.do?sx=showpatent_cn&amp;sf=ShowPatent&amp;spn=US8124434&amp;sx=showpatent_cn&amp;sv=24be1db7d20a11715afd5c8ba0c35b5f","US8124434")</f>
        <v>US8124434</v>
      </c>
      <c r="B136" s="9" t="s">
        <v>679</v>
      </c>
      <c r="C136" s="9" t="s">
        <v>680</v>
      </c>
      <c r="D136" s="9" t="s">
        <v>617</v>
      </c>
      <c r="E136" s="9" t="s">
        <v>49</v>
      </c>
      <c r="F136" s="9" t="s">
        <v>681</v>
      </c>
      <c r="G136" s="9" t="s">
        <v>682</v>
      </c>
      <c r="H136" s="9" t="s">
        <v>619</v>
      </c>
      <c r="I136" s="9" t="s">
        <v>683</v>
      </c>
      <c r="J136" s="9" t="s">
        <v>684</v>
      </c>
      <c r="K136" s="9" t="s">
        <v>0</v>
      </c>
      <c r="L136" s="9" t="s">
        <v>0</v>
      </c>
      <c r="M136" s="9">
        <v>20</v>
      </c>
      <c r="N136" s="9">
        <v>7</v>
      </c>
      <c r="O136" s="9" t="s">
        <v>57</v>
      </c>
      <c r="P136" s="9" t="s">
        <v>58</v>
      </c>
      <c r="Q136" s="9">
        <v>433</v>
      </c>
      <c r="R136" s="9">
        <v>27</v>
      </c>
      <c r="S136" s="9">
        <v>406</v>
      </c>
      <c r="T136" s="9">
        <v>106</v>
      </c>
      <c r="U136" s="9">
        <v>10</v>
      </c>
      <c r="V136" s="9" t="s">
        <v>685</v>
      </c>
      <c r="W136" s="9">
        <v>7</v>
      </c>
      <c r="X136" s="9">
        <v>3</v>
      </c>
      <c r="Y136" s="9">
        <v>3</v>
      </c>
      <c r="Z136" s="9">
        <v>1</v>
      </c>
      <c r="AA136" s="9">
        <v>23</v>
      </c>
      <c r="AB136" s="9">
        <v>14</v>
      </c>
      <c r="AC136" s="9">
        <v>14</v>
      </c>
      <c r="AD136" s="9" t="s">
        <v>0</v>
      </c>
      <c r="AE136" s="9" t="s">
        <v>60</v>
      </c>
    </row>
    <row r="137" spans="1:31" ht="63.75" x14ac:dyDescent="0.2">
      <c r="A137" s="8" t="str">
        <f>HYPERLINK("http://www.patentics.cn/invokexml.do?sx=showpatent_cn&amp;sf=ShowPatent&amp;spn=US8379392&amp;sx=showpatent_cn&amp;sv=9b3471cb5e678c1435f3fc6adcecc443","US8379392")</f>
        <v>US8379392</v>
      </c>
      <c r="B137" s="9" t="s">
        <v>686</v>
      </c>
      <c r="C137" s="9" t="s">
        <v>687</v>
      </c>
      <c r="D137" s="9" t="s">
        <v>617</v>
      </c>
      <c r="E137" s="9" t="s">
        <v>49</v>
      </c>
      <c r="F137" s="9" t="s">
        <v>688</v>
      </c>
      <c r="G137" s="9" t="s">
        <v>689</v>
      </c>
      <c r="H137" s="9" t="s">
        <v>690</v>
      </c>
      <c r="I137" s="9" t="s">
        <v>690</v>
      </c>
      <c r="J137" s="9" t="s">
        <v>691</v>
      </c>
      <c r="K137" s="9" t="s">
        <v>692</v>
      </c>
      <c r="L137" s="9" t="s">
        <v>693</v>
      </c>
      <c r="M137" s="9">
        <v>23</v>
      </c>
      <c r="N137" s="9">
        <v>9</v>
      </c>
      <c r="O137" s="9" t="s">
        <v>57</v>
      </c>
      <c r="P137" s="9" t="s">
        <v>58</v>
      </c>
      <c r="Q137" s="9">
        <v>324</v>
      </c>
      <c r="R137" s="9">
        <v>32</v>
      </c>
      <c r="S137" s="9">
        <v>292</v>
      </c>
      <c r="T137" s="9">
        <v>123</v>
      </c>
      <c r="U137" s="9">
        <v>1</v>
      </c>
      <c r="V137" s="9" t="s">
        <v>114</v>
      </c>
      <c r="W137" s="9">
        <v>1</v>
      </c>
      <c r="X137" s="9">
        <v>0</v>
      </c>
      <c r="Y137" s="9">
        <v>1</v>
      </c>
      <c r="Z137" s="9">
        <v>1</v>
      </c>
      <c r="AA137" s="9">
        <v>2</v>
      </c>
      <c r="AB137" s="9">
        <v>2</v>
      </c>
      <c r="AC137" s="9">
        <v>14</v>
      </c>
      <c r="AD137" s="9" t="s">
        <v>0</v>
      </c>
      <c r="AE137" s="9" t="s">
        <v>532</v>
      </c>
    </row>
    <row r="138" spans="1:31" ht="165.75" x14ac:dyDescent="0.2">
      <c r="A138" s="8" t="str">
        <f>HYPERLINK("http://www.patentics.cn/invokexml.do?sx=showpatent_cn&amp;sf=ShowPatent&amp;spn=US8682130&amp;sx=showpatent_cn&amp;sv=25dc14ffb405a124a3ff0da929e23f8c","US8682130")</f>
        <v>US8682130</v>
      </c>
      <c r="B138" s="9" t="s">
        <v>694</v>
      </c>
      <c r="C138" s="9" t="s">
        <v>662</v>
      </c>
      <c r="D138" s="9" t="s">
        <v>695</v>
      </c>
      <c r="E138" s="9" t="s">
        <v>49</v>
      </c>
      <c r="F138" s="9" t="s">
        <v>663</v>
      </c>
      <c r="G138" s="9" t="s">
        <v>664</v>
      </c>
      <c r="H138" s="9" t="s">
        <v>619</v>
      </c>
      <c r="I138" s="9" t="s">
        <v>696</v>
      </c>
      <c r="J138" s="9" t="s">
        <v>129</v>
      </c>
      <c r="K138" s="9" t="s">
        <v>622</v>
      </c>
      <c r="L138" s="9" t="s">
        <v>667</v>
      </c>
      <c r="M138" s="9">
        <v>27</v>
      </c>
      <c r="N138" s="9">
        <v>8</v>
      </c>
      <c r="O138" s="9" t="s">
        <v>57</v>
      </c>
      <c r="P138" s="9" t="s">
        <v>58</v>
      </c>
      <c r="Q138" s="9">
        <v>428</v>
      </c>
      <c r="R138" s="9">
        <v>19</v>
      </c>
      <c r="S138" s="9">
        <v>409</v>
      </c>
      <c r="T138" s="9">
        <v>114</v>
      </c>
      <c r="U138" s="9">
        <v>0</v>
      </c>
      <c r="V138" s="9" t="s">
        <v>114</v>
      </c>
      <c r="W138" s="9">
        <v>0</v>
      </c>
      <c r="X138" s="9">
        <v>0</v>
      </c>
      <c r="Y138" s="9">
        <v>0</v>
      </c>
      <c r="Z138" s="9">
        <v>0</v>
      </c>
      <c r="AA138" s="9">
        <v>26</v>
      </c>
      <c r="AB138" s="9">
        <v>13</v>
      </c>
      <c r="AC138" s="9">
        <v>14</v>
      </c>
      <c r="AD138" s="9" t="s">
        <v>0</v>
      </c>
      <c r="AE138" s="9" t="s">
        <v>60</v>
      </c>
    </row>
    <row r="139" spans="1:31" ht="63.75" x14ac:dyDescent="0.2">
      <c r="A139" s="8" t="str">
        <f>HYPERLINK("http://www.patentics.cn/invokexml.do?sx=showpatent_cn&amp;sf=ShowPatent&amp;spn=CN1762786B&amp;sx=showpatent_cn&amp;sv=391279ea451b24d6828e475a3e8e1890","CN1762786B")</f>
        <v>CN1762786B</v>
      </c>
      <c r="B139" s="9" t="s">
        <v>697</v>
      </c>
      <c r="C139" s="9" t="s">
        <v>698</v>
      </c>
      <c r="D139" s="9" t="s">
        <v>699</v>
      </c>
      <c r="E139" s="9" t="s">
        <v>301</v>
      </c>
      <c r="F139" s="9" t="s">
        <v>700</v>
      </c>
      <c r="G139" s="9" t="s">
        <v>701</v>
      </c>
      <c r="H139" s="9" t="s">
        <v>619</v>
      </c>
      <c r="I139" s="9" t="s">
        <v>702</v>
      </c>
      <c r="J139" s="9" t="s">
        <v>703</v>
      </c>
      <c r="K139" s="9" t="s">
        <v>704</v>
      </c>
      <c r="L139" s="9" t="s">
        <v>705</v>
      </c>
      <c r="M139" s="9">
        <v>39</v>
      </c>
      <c r="N139" s="9">
        <v>14</v>
      </c>
      <c r="O139" s="9" t="s">
        <v>57</v>
      </c>
      <c r="P139" s="9" t="s">
        <v>58</v>
      </c>
      <c r="Q139" s="9">
        <v>2</v>
      </c>
      <c r="R139" s="9">
        <v>0</v>
      </c>
      <c r="S139" s="9">
        <v>2</v>
      </c>
      <c r="T139" s="9">
        <v>2</v>
      </c>
      <c r="U139" s="9">
        <v>0</v>
      </c>
      <c r="V139" s="9" t="s">
        <v>114</v>
      </c>
      <c r="W139" s="9">
        <v>0</v>
      </c>
      <c r="X139" s="9">
        <v>0</v>
      </c>
      <c r="Y139" s="9">
        <v>0</v>
      </c>
      <c r="Z139" s="9">
        <v>0</v>
      </c>
      <c r="AA139" s="9">
        <v>33</v>
      </c>
      <c r="AB139" s="9">
        <v>12</v>
      </c>
      <c r="AC139" s="9">
        <v>14</v>
      </c>
      <c r="AD139" s="9" t="s">
        <v>0</v>
      </c>
      <c r="AE139" s="9" t="s">
        <v>532</v>
      </c>
    </row>
    <row r="140" spans="1:31" ht="38.25" x14ac:dyDescent="0.2">
      <c r="A140" s="6" t="str">
        <f>HYPERLINK("http://www.patentics.cn/invokexml.do?sx=showpatent_cn&amp;sf=ShowPatent&amp;spn=CN1491030&amp;sx=showpatent_cn&amp;sv=b7c7908ea1ded315a112d4eafba811d2","CN1491030")</f>
        <v>CN1491030</v>
      </c>
      <c r="B140" s="7" t="s">
        <v>706</v>
      </c>
      <c r="C140" s="7" t="s">
        <v>707</v>
      </c>
      <c r="D140" s="7" t="s">
        <v>708</v>
      </c>
      <c r="E140" s="7" t="s">
        <v>709</v>
      </c>
      <c r="F140" s="7" t="s">
        <v>710</v>
      </c>
      <c r="G140" s="7" t="s">
        <v>711</v>
      </c>
      <c r="H140" s="7" t="s">
        <v>712</v>
      </c>
      <c r="I140" s="7" t="s">
        <v>712</v>
      </c>
      <c r="J140" s="7" t="s">
        <v>713</v>
      </c>
      <c r="K140" s="7" t="s">
        <v>714</v>
      </c>
      <c r="L140" s="7" t="s">
        <v>715</v>
      </c>
      <c r="M140" s="7">
        <v>9</v>
      </c>
      <c r="N140" s="7">
        <v>24</v>
      </c>
      <c r="O140" s="7" t="s">
        <v>42</v>
      </c>
      <c r="P140" s="7" t="s">
        <v>43</v>
      </c>
      <c r="Q140" s="7">
        <v>0</v>
      </c>
      <c r="R140" s="7">
        <v>0</v>
      </c>
      <c r="S140" s="7">
        <v>0</v>
      </c>
      <c r="T140" s="7">
        <v>0</v>
      </c>
      <c r="U140" s="7">
        <v>13</v>
      </c>
      <c r="V140" s="7" t="s">
        <v>716</v>
      </c>
      <c r="W140" s="7">
        <v>1</v>
      </c>
      <c r="X140" s="7">
        <v>12</v>
      </c>
      <c r="Y140" s="7">
        <v>2</v>
      </c>
      <c r="Z140" s="7">
        <v>2</v>
      </c>
      <c r="AA140" s="7">
        <v>1</v>
      </c>
      <c r="AB140" s="7">
        <v>1</v>
      </c>
      <c r="AC140" s="7" t="s">
        <v>0</v>
      </c>
      <c r="AD140" s="7">
        <v>12</v>
      </c>
      <c r="AE140" s="7" t="s">
        <v>532</v>
      </c>
    </row>
    <row r="141" spans="1:31" ht="76.5" x14ac:dyDescent="0.2">
      <c r="A141" s="8" t="str">
        <f>HYPERLINK("http://www.patentics.cn/invokexml.do?sx=showpatent_cn&amp;sf=ShowPatent&amp;spn=US9116344&amp;sx=showpatent_cn&amp;sv=cc474ac412c9f06efffb23458eb03856","US9116344")</f>
        <v>US9116344</v>
      </c>
      <c r="B141" s="9" t="s">
        <v>717</v>
      </c>
      <c r="C141" s="9" t="s">
        <v>718</v>
      </c>
      <c r="D141" s="9" t="s">
        <v>719</v>
      </c>
      <c r="E141" s="9" t="s">
        <v>49</v>
      </c>
      <c r="F141" s="9" t="s">
        <v>720</v>
      </c>
      <c r="G141" s="9" t="s">
        <v>721</v>
      </c>
      <c r="H141" s="9" t="s">
        <v>722</v>
      </c>
      <c r="I141" s="9" t="s">
        <v>723</v>
      </c>
      <c r="J141" s="9" t="s">
        <v>445</v>
      </c>
      <c r="K141" s="9" t="s">
        <v>622</v>
      </c>
      <c r="L141" s="9" t="s">
        <v>724</v>
      </c>
      <c r="M141" s="9">
        <v>20</v>
      </c>
      <c r="N141" s="9">
        <v>7</v>
      </c>
      <c r="O141" s="9" t="s">
        <v>57</v>
      </c>
      <c r="P141" s="9" t="s">
        <v>58</v>
      </c>
      <c r="Q141" s="9">
        <v>1067</v>
      </c>
      <c r="R141" s="9">
        <v>132</v>
      </c>
      <c r="S141" s="9">
        <v>935</v>
      </c>
      <c r="T141" s="9">
        <v>255</v>
      </c>
      <c r="U141" s="9">
        <v>0</v>
      </c>
      <c r="V141" s="9" t="s">
        <v>114</v>
      </c>
      <c r="W141" s="9">
        <v>0</v>
      </c>
      <c r="X141" s="9">
        <v>0</v>
      </c>
      <c r="Y141" s="9">
        <v>0</v>
      </c>
      <c r="Z141" s="9">
        <v>0</v>
      </c>
      <c r="AA141" s="9">
        <v>18</v>
      </c>
      <c r="AB141" s="9">
        <v>5</v>
      </c>
      <c r="AC141" s="9">
        <v>14</v>
      </c>
      <c r="AD141" s="9" t="s">
        <v>0</v>
      </c>
      <c r="AE141" s="9" t="s">
        <v>60</v>
      </c>
    </row>
    <row r="142" spans="1:31" ht="229.5" x14ac:dyDescent="0.2">
      <c r="A142" s="8" t="str">
        <f>HYPERLINK("http://www.patentics.cn/invokexml.do?sx=showpatent_cn&amp;sf=ShowPatent&amp;spn=US9128277&amp;sx=showpatent_cn&amp;sv=4c06b51e7aa5a360bcc95bdb60443ce1","US9128277")</f>
        <v>US9128277</v>
      </c>
      <c r="B142" s="9" t="s">
        <v>725</v>
      </c>
      <c r="C142" s="9" t="s">
        <v>726</v>
      </c>
      <c r="D142" s="9" t="s">
        <v>719</v>
      </c>
      <c r="E142" s="9" t="s">
        <v>49</v>
      </c>
      <c r="F142" s="9" t="s">
        <v>727</v>
      </c>
      <c r="G142" s="9" t="s">
        <v>728</v>
      </c>
      <c r="H142" s="9" t="s">
        <v>722</v>
      </c>
      <c r="I142" s="9" t="s">
        <v>729</v>
      </c>
      <c r="J142" s="9" t="s">
        <v>190</v>
      </c>
      <c r="K142" s="9" t="s">
        <v>622</v>
      </c>
      <c r="L142" s="9" t="s">
        <v>631</v>
      </c>
      <c r="M142" s="9">
        <v>19</v>
      </c>
      <c r="N142" s="9">
        <v>10</v>
      </c>
      <c r="O142" s="9" t="s">
        <v>57</v>
      </c>
      <c r="P142" s="9" t="s">
        <v>58</v>
      </c>
      <c r="Q142" s="9">
        <v>982</v>
      </c>
      <c r="R142" s="9">
        <v>89</v>
      </c>
      <c r="S142" s="9">
        <v>893</v>
      </c>
      <c r="T142" s="9">
        <v>250</v>
      </c>
      <c r="U142" s="9">
        <v>0</v>
      </c>
      <c r="V142" s="9" t="s">
        <v>114</v>
      </c>
      <c r="W142" s="9">
        <v>0</v>
      </c>
      <c r="X142" s="9">
        <v>0</v>
      </c>
      <c r="Y142" s="9">
        <v>0</v>
      </c>
      <c r="Z142" s="9">
        <v>0</v>
      </c>
      <c r="AA142" s="9">
        <v>18</v>
      </c>
      <c r="AB142" s="9">
        <v>5</v>
      </c>
      <c r="AC142" s="9">
        <v>14</v>
      </c>
      <c r="AD142" s="9" t="s">
        <v>0</v>
      </c>
      <c r="AE142" s="9" t="s">
        <v>60</v>
      </c>
    </row>
    <row r="143" spans="1:31" ht="89.25" x14ac:dyDescent="0.2">
      <c r="A143" s="8" t="str">
        <f>HYPERLINK("http://www.patentics.cn/invokexml.do?sx=showpatent_cn&amp;sf=ShowPatent&amp;spn=US9134552&amp;sx=showpatent_cn&amp;sv=10d7613285b9406a9e7d0d0c990b6063","US9134552")</f>
        <v>US9134552</v>
      </c>
      <c r="B143" s="9" t="s">
        <v>730</v>
      </c>
      <c r="C143" s="9" t="s">
        <v>731</v>
      </c>
      <c r="D143" s="9" t="s">
        <v>719</v>
      </c>
      <c r="E143" s="9" t="s">
        <v>49</v>
      </c>
      <c r="F143" s="9" t="s">
        <v>732</v>
      </c>
      <c r="G143" s="9" t="s">
        <v>733</v>
      </c>
      <c r="H143" s="9" t="s">
        <v>734</v>
      </c>
      <c r="I143" s="9" t="s">
        <v>734</v>
      </c>
      <c r="J143" s="9" t="s">
        <v>196</v>
      </c>
      <c r="K143" s="9" t="s">
        <v>622</v>
      </c>
      <c r="L143" s="9" t="s">
        <v>631</v>
      </c>
      <c r="M143" s="9">
        <v>14</v>
      </c>
      <c r="N143" s="9">
        <v>14</v>
      </c>
      <c r="O143" s="9" t="s">
        <v>57</v>
      </c>
      <c r="P143" s="9" t="s">
        <v>58</v>
      </c>
      <c r="Q143" s="9">
        <v>990</v>
      </c>
      <c r="R143" s="9">
        <v>95</v>
      </c>
      <c r="S143" s="9">
        <v>895</v>
      </c>
      <c r="T143" s="9">
        <v>257</v>
      </c>
      <c r="U143" s="9">
        <v>0</v>
      </c>
      <c r="V143" s="9" t="s">
        <v>114</v>
      </c>
      <c r="W143" s="9">
        <v>0</v>
      </c>
      <c r="X143" s="9">
        <v>0</v>
      </c>
      <c r="Y143" s="9">
        <v>0</v>
      </c>
      <c r="Z143" s="9">
        <v>0</v>
      </c>
      <c r="AA143" s="9">
        <v>4</v>
      </c>
      <c r="AB143" s="9">
        <v>4</v>
      </c>
      <c r="AC143" s="9">
        <v>14</v>
      </c>
      <c r="AD143" s="9" t="s">
        <v>0</v>
      </c>
      <c r="AE143" s="9" t="s">
        <v>60</v>
      </c>
    </row>
    <row r="144" spans="1:31" ht="127.5" x14ac:dyDescent="0.2">
      <c r="A144" s="8" t="str">
        <f>HYPERLINK("http://www.patentics.cn/invokexml.do?sx=showpatent_cn&amp;sf=ShowPatent&amp;spn=US9135868&amp;sx=showpatent_cn&amp;sv=22a10f00de4053283e16669aa282cb31","US9135868")</f>
        <v>US9135868</v>
      </c>
      <c r="B144" s="9" t="s">
        <v>735</v>
      </c>
      <c r="C144" s="9" t="s">
        <v>736</v>
      </c>
      <c r="D144" s="9" t="s">
        <v>719</v>
      </c>
      <c r="E144" s="9" t="s">
        <v>49</v>
      </c>
      <c r="F144" s="9" t="s">
        <v>737</v>
      </c>
      <c r="G144" s="9" t="s">
        <v>738</v>
      </c>
      <c r="H144" s="9" t="s">
        <v>739</v>
      </c>
      <c r="I144" s="9" t="s">
        <v>740</v>
      </c>
      <c r="J144" s="9" t="s">
        <v>196</v>
      </c>
      <c r="K144" s="9" t="s">
        <v>741</v>
      </c>
      <c r="L144" s="9" t="s">
        <v>742</v>
      </c>
      <c r="M144" s="9">
        <v>20</v>
      </c>
      <c r="N144" s="9">
        <v>14</v>
      </c>
      <c r="O144" s="9" t="s">
        <v>57</v>
      </c>
      <c r="P144" s="9" t="s">
        <v>58</v>
      </c>
      <c r="Q144" s="9">
        <v>998</v>
      </c>
      <c r="R144" s="9">
        <v>100</v>
      </c>
      <c r="S144" s="9">
        <v>898</v>
      </c>
      <c r="T144" s="9">
        <v>257</v>
      </c>
      <c r="U144" s="9">
        <v>0</v>
      </c>
      <c r="V144" s="9" t="s">
        <v>114</v>
      </c>
      <c r="W144" s="9">
        <v>0</v>
      </c>
      <c r="X144" s="9">
        <v>0</v>
      </c>
      <c r="Y144" s="9">
        <v>0</v>
      </c>
      <c r="Z144" s="9">
        <v>0</v>
      </c>
      <c r="AA144" s="9">
        <v>267</v>
      </c>
      <c r="AB144" s="9">
        <v>11</v>
      </c>
      <c r="AC144" s="9">
        <v>14</v>
      </c>
      <c r="AD144" s="9" t="s">
        <v>0</v>
      </c>
      <c r="AE144" s="9" t="s">
        <v>60</v>
      </c>
    </row>
    <row r="145" spans="1:31" ht="114.75" x14ac:dyDescent="0.2">
      <c r="A145" s="8" t="str">
        <f>HYPERLINK("http://www.patentics.cn/invokexml.do?sx=showpatent_cn&amp;sf=ShowPatent&amp;spn=US9158106&amp;sx=showpatent_cn&amp;sv=911be67fcc0bf0d94a70b90f898352cd","US9158106")</f>
        <v>US9158106</v>
      </c>
      <c r="B145" s="9" t="s">
        <v>743</v>
      </c>
      <c r="C145" s="9" t="s">
        <v>744</v>
      </c>
      <c r="D145" s="9" t="s">
        <v>719</v>
      </c>
      <c r="E145" s="9" t="s">
        <v>49</v>
      </c>
      <c r="F145" s="9" t="s">
        <v>745</v>
      </c>
      <c r="G145" s="9" t="s">
        <v>746</v>
      </c>
      <c r="H145" s="9" t="s">
        <v>739</v>
      </c>
      <c r="I145" s="9" t="s">
        <v>747</v>
      </c>
      <c r="J145" s="9" t="s">
        <v>472</v>
      </c>
      <c r="K145" s="9" t="s">
        <v>741</v>
      </c>
      <c r="L145" s="9" t="s">
        <v>748</v>
      </c>
      <c r="M145" s="9">
        <v>40</v>
      </c>
      <c r="N145" s="9">
        <v>11</v>
      </c>
      <c r="O145" s="9" t="s">
        <v>57</v>
      </c>
      <c r="P145" s="9" t="s">
        <v>58</v>
      </c>
      <c r="Q145" s="9">
        <v>1027</v>
      </c>
      <c r="R145" s="9">
        <v>108</v>
      </c>
      <c r="S145" s="9">
        <v>919</v>
      </c>
      <c r="T145" s="9">
        <v>255</v>
      </c>
      <c r="U145" s="9">
        <v>2</v>
      </c>
      <c r="V145" s="9" t="s">
        <v>452</v>
      </c>
      <c r="W145" s="9">
        <v>0</v>
      </c>
      <c r="X145" s="9">
        <v>2</v>
      </c>
      <c r="Y145" s="9">
        <v>2</v>
      </c>
      <c r="Z145" s="9">
        <v>1</v>
      </c>
      <c r="AA145" s="9">
        <v>267</v>
      </c>
      <c r="AB145" s="9">
        <v>11</v>
      </c>
      <c r="AC145" s="9">
        <v>14</v>
      </c>
      <c r="AD145" s="9" t="s">
        <v>0</v>
      </c>
      <c r="AE145" s="9" t="s">
        <v>60</v>
      </c>
    </row>
    <row r="146" spans="1:31" ht="114.75" x14ac:dyDescent="0.2">
      <c r="A146" s="8" t="str">
        <f>HYPERLINK("http://www.patentics.cn/invokexml.do?sx=showpatent_cn&amp;sf=ShowPatent&amp;spn=US9177523&amp;sx=showpatent_cn&amp;sv=11981821dc4f117ae1746736b1a1179e","US9177523")</f>
        <v>US9177523</v>
      </c>
      <c r="B146" s="9" t="s">
        <v>749</v>
      </c>
      <c r="C146" s="9" t="s">
        <v>750</v>
      </c>
      <c r="D146" s="9" t="s">
        <v>719</v>
      </c>
      <c r="E146" s="9" t="s">
        <v>49</v>
      </c>
      <c r="F146" s="9" t="s">
        <v>751</v>
      </c>
      <c r="G146" s="9" t="s">
        <v>746</v>
      </c>
      <c r="H146" s="9" t="s">
        <v>747</v>
      </c>
      <c r="I146" s="9" t="s">
        <v>752</v>
      </c>
      <c r="J146" s="9" t="s">
        <v>228</v>
      </c>
      <c r="K146" s="9" t="s">
        <v>741</v>
      </c>
      <c r="L146" s="9" t="s">
        <v>742</v>
      </c>
      <c r="M146" s="9">
        <v>20</v>
      </c>
      <c r="N146" s="9">
        <v>8</v>
      </c>
      <c r="O146" s="9" t="s">
        <v>57</v>
      </c>
      <c r="P146" s="9" t="s">
        <v>58</v>
      </c>
      <c r="Q146" s="9">
        <v>1066</v>
      </c>
      <c r="R146" s="9">
        <v>124</v>
      </c>
      <c r="S146" s="9">
        <v>942</v>
      </c>
      <c r="T146" s="9">
        <v>256</v>
      </c>
      <c r="U146" s="9">
        <v>1</v>
      </c>
      <c r="V146" s="9" t="s">
        <v>264</v>
      </c>
      <c r="W146" s="9">
        <v>0</v>
      </c>
      <c r="X146" s="9">
        <v>1</v>
      </c>
      <c r="Y146" s="9">
        <v>1</v>
      </c>
      <c r="Z146" s="9">
        <v>1</v>
      </c>
      <c r="AA146" s="9">
        <v>5</v>
      </c>
      <c r="AB146" s="9">
        <v>1</v>
      </c>
      <c r="AC146" s="9">
        <v>14</v>
      </c>
      <c r="AD146" s="9" t="s">
        <v>0</v>
      </c>
      <c r="AE146" s="9" t="s">
        <v>60</v>
      </c>
    </row>
    <row r="147" spans="1:31" ht="51" x14ac:dyDescent="0.2">
      <c r="A147" s="8" t="str">
        <f>HYPERLINK("http://www.patentics.cn/invokexml.do?sx=showpatent_cn&amp;sf=ShowPatent&amp;spn=US9182587&amp;sx=showpatent_cn&amp;sv=c268bd2205f37e0909285f20d7481698","US9182587")</f>
        <v>US9182587</v>
      </c>
      <c r="B147" s="9" t="s">
        <v>753</v>
      </c>
      <c r="C147" s="9" t="s">
        <v>754</v>
      </c>
      <c r="D147" s="9" t="s">
        <v>719</v>
      </c>
      <c r="E147" s="9" t="s">
        <v>49</v>
      </c>
      <c r="F147" s="9" t="s">
        <v>755</v>
      </c>
      <c r="G147" s="9" t="s">
        <v>756</v>
      </c>
      <c r="H147" s="9" t="s">
        <v>722</v>
      </c>
      <c r="I147" s="9" t="s">
        <v>757</v>
      </c>
      <c r="J147" s="9" t="s">
        <v>235</v>
      </c>
      <c r="K147" s="9" t="s">
        <v>622</v>
      </c>
      <c r="L147" s="9" t="s">
        <v>724</v>
      </c>
      <c r="M147" s="9">
        <v>19</v>
      </c>
      <c r="N147" s="9">
        <v>8</v>
      </c>
      <c r="O147" s="9" t="s">
        <v>57</v>
      </c>
      <c r="P147" s="9" t="s">
        <v>58</v>
      </c>
      <c r="Q147" s="9">
        <v>987</v>
      </c>
      <c r="R147" s="9">
        <v>94</v>
      </c>
      <c r="S147" s="9">
        <v>893</v>
      </c>
      <c r="T147" s="9">
        <v>254</v>
      </c>
      <c r="U147" s="9">
        <v>0</v>
      </c>
      <c r="V147" s="9" t="s">
        <v>114</v>
      </c>
      <c r="W147" s="9">
        <v>0</v>
      </c>
      <c r="X147" s="9">
        <v>0</v>
      </c>
      <c r="Y147" s="9">
        <v>0</v>
      </c>
      <c r="Z147" s="9">
        <v>0</v>
      </c>
      <c r="AA147" s="9">
        <v>18</v>
      </c>
      <c r="AB147" s="9">
        <v>5</v>
      </c>
      <c r="AC147" s="9">
        <v>14</v>
      </c>
      <c r="AD147" s="9" t="s">
        <v>0</v>
      </c>
      <c r="AE147" s="9" t="s">
        <v>60</v>
      </c>
    </row>
    <row r="148" spans="1:31" ht="140.25" x14ac:dyDescent="0.2">
      <c r="A148" s="8" t="str">
        <f>HYPERLINK("http://www.patentics.cn/invokexml.do?sx=showpatent_cn&amp;sf=ShowPatent&amp;spn=US9229222&amp;sx=showpatent_cn&amp;sv=3856768324bd2d72de355d5b3e8af3fe","US9229222")</f>
        <v>US9229222</v>
      </c>
      <c r="B148" s="9" t="s">
        <v>758</v>
      </c>
      <c r="C148" s="9" t="s">
        <v>759</v>
      </c>
      <c r="D148" s="9" t="s">
        <v>719</v>
      </c>
      <c r="E148" s="9" t="s">
        <v>49</v>
      </c>
      <c r="F148" s="9" t="s">
        <v>760</v>
      </c>
      <c r="G148" s="9" t="s">
        <v>746</v>
      </c>
      <c r="H148" s="9" t="s">
        <v>739</v>
      </c>
      <c r="I148" s="9" t="s">
        <v>761</v>
      </c>
      <c r="J148" s="9" t="s">
        <v>762</v>
      </c>
      <c r="K148" s="9" t="s">
        <v>622</v>
      </c>
      <c r="L148" s="9" t="s">
        <v>631</v>
      </c>
      <c r="M148" s="9">
        <v>31</v>
      </c>
      <c r="N148" s="9">
        <v>16</v>
      </c>
      <c r="O148" s="9" t="s">
        <v>57</v>
      </c>
      <c r="P148" s="9" t="s">
        <v>58</v>
      </c>
      <c r="Q148" s="9">
        <v>1044</v>
      </c>
      <c r="R148" s="9">
        <v>116</v>
      </c>
      <c r="S148" s="9">
        <v>928</v>
      </c>
      <c r="T148" s="9">
        <v>257</v>
      </c>
      <c r="U148" s="9">
        <v>0</v>
      </c>
      <c r="V148" s="9" t="s">
        <v>114</v>
      </c>
      <c r="W148" s="9">
        <v>0</v>
      </c>
      <c r="X148" s="9">
        <v>0</v>
      </c>
      <c r="Y148" s="9">
        <v>0</v>
      </c>
      <c r="Z148" s="9">
        <v>0</v>
      </c>
      <c r="AA148" s="9">
        <v>267</v>
      </c>
      <c r="AB148" s="9">
        <v>11</v>
      </c>
      <c r="AC148" s="9">
        <v>14</v>
      </c>
      <c r="AD148" s="9" t="s">
        <v>0</v>
      </c>
      <c r="AE148" s="9" t="s">
        <v>60</v>
      </c>
    </row>
    <row r="149" spans="1:31" ht="127.5" x14ac:dyDescent="0.2">
      <c r="A149" s="8" t="str">
        <f>HYPERLINK("http://www.patentics.cn/invokexml.do?sx=showpatent_cn&amp;sf=ShowPatent&amp;spn=US9261694&amp;sx=showpatent_cn&amp;sv=46e7e8045440bca7535fda11842d4ce8","US9261694")</f>
        <v>US9261694</v>
      </c>
      <c r="B149" s="9" t="s">
        <v>763</v>
      </c>
      <c r="C149" s="9" t="s">
        <v>764</v>
      </c>
      <c r="D149" s="9" t="s">
        <v>719</v>
      </c>
      <c r="E149" s="9" t="s">
        <v>49</v>
      </c>
      <c r="F149" s="9" t="s">
        <v>765</v>
      </c>
      <c r="G149" s="9" t="s">
        <v>766</v>
      </c>
      <c r="H149" s="9" t="s">
        <v>739</v>
      </c>
      <c r="I149" s="9" t="s">
        <v>767</v>
      </c>
      <c r="J149" s="9" t="s">
        <v>768</v>
      </c>
      <c r="K149" s="9" t="s">
        <v>622</v>
      </c>
      <c r="L149" s="9" t="s">
        <v>631</v>
      </c>
      <c r="M149" s="9">
        <v>21</v>
      </c>
      <c r="N149" s="9">
        <v>10</v>
      </c>
      <c r="O149" s="9" t="s">
        <v>57</v>
      </c>
      <c r="P149" s="9" t="s">
        <v>58</v>
      </c>
      <c r="Q149" s="9">
        <v>1002</v>
      </c>
      <c r="R149" s="9">
        <v>104</v>
      </c>
      <c r="S149" s="9">
        <v>898</v>
      </c>
      <c r="T149" s="9">
        <v>258</v>
      </c>
      <c r="U149" s="9">
        <v>2</v>
      </c>
      <c r="V149" s="9" t="s">
        <v>769</v>
      </c>
      <c r="W149" s="9">
        <v>1</v>
      </c>
      <c r="X149" s="9">
        <v>1</v>
      </c>
      <c r="Y149" s="9">
        <v>2</v>
      </c>
      <c r="Z149" s="9">
        <v>1</v>
      </c>
      <c r="AA149" s="9">
        <v>267</v>
      </c>
      <c r="AB149" s="9">
        <v>11</v>
      </c>
      <c r="AC149" s="9">
        <v>14</v>
      </c>
      <c r="AD149" s="9" t="s">
        <v>0</v>
      </c>
      <c r="AE149" s="9" t="s">
        <v>60</v>
      </c>
    </row>
    <row r="150" spans="1:31" ht="140.25" x14ac:dyDescent="0.2">
      <c r="A150" s="8" t="str">
        <f>HYPERLINK("http://www.patentics.cn/invokexml.do?sx=showpatent_cn&amp;sf=ShowPatent&amp;spn=US9274333&amp;sx=showpatent_cn&amp;sv=b23607655477431fe8b26b20115499f8","US9274333")</f>
        <v>US9274333</v>
      </c>
      <c r="B150" s="9" t="s">
        <v>770</v>
      </c>
      <c r="C150" s="9" t="s">
        <v>759</v>
      </c>
      <c r="D150" s="9" t="s">
        <v>719</v>
      </c>
      <c r="E150" s="9" t="s">
        <v>49</v>
      </c>
      <c r="F150" s="9" t="s">
        <v>771</v>
      </c>
      <c r="G150" s="9" t="s">
        <v>738</v>
      </c>
      <c r="H150" s="9" t="s">
        <v>739</v>
      </c>
      <c r="I150" s="9" t="s">
        <v>476</v>
      </c>
      <c r="J150" s="9" t="s">
        <v>772</v>
      </c>
      <c r="K150" s="9" t="s">
        <v>773</v>
      </c>
      <c r="L150" s="9" t="s">
        <v>774</v>
      </c>
      <c r="M150" s="9">
        <v>18</v>
      </c>
      <c r="N150" s="9">
        <v>7</v>
      </c>
      <c r="O150" s="9" t="s">
        <v>57</v>
      </c>
      <c r="P150" s="9" t="s">
        <v>58</v>
      </c>
      <c r="Q150" s="9">
        <v>1066</v>
      </c>
      <c r="R150" s="9">
        <v>127</v>
      </c>
      <c r="S150" s="9">
        <v>939</v>
      </c>
      <c r="T150" s="9">
        <v>257</v>
      </c>
      <c r="U150" s="9">
        <v>0</v>
      </c>
      <c r="V150" s="9" t="s">
        <v>114</v>
      </c>
      <c r="W150" s="9">
        <v>0</v>
      </c>
      <c r="X150" s="9">
        <v>0</v>
      </c>
      <c r="Y150" s="9">
        <v>0</v>
      </c>
      <c r="Z150" s="9">
        <v>0</v>
      </c>
      <c r="AA150" s="9">
        <v>267</v>
      </c>
      <c r="AB150" s="9">
        <v>11</v>
      </c>
      <c r="AC150" s="9">
        <v>14</v>
      </c>
      <c r="AD150" s="9" t="s">
        <v>0</v>
      </c>
      <c r="AE150" s="9" t="s">
        <v>60</v>
      </c>
    </row>
    <row r="151" spans="1:31" ht="178.5" x14ac:dyDescent="0.2">
      <c r="A151" s="8" t="str">
        <f>HYPERLINK("http://www.patentics.cn/invokexml.do?sx=showpatent_cn&amp;sf=ShowPatent&amp;spn=US9336732&amp;sx=showpatent_cn&amp;sv=947d20f2d1fcc37df2712a289de25041","US9336732")</f>
        <v>US9336732</v>
      </c>
      <c r="B151" s="9" t="s">
        <v>775</v>
      </c>
      <c r="C151" s="9" t="s">
        <v>750</v>
      </c>
      <c r="D151" s="9" t="s">
        <v>719</v>
      </c>
      <c r="E151" s="9" t="s">
        <v>49</v>
      </c>
      <c r="F151" s="9" t="s">
        <v>776</v>
      </c>
      <c r="G151" s="9" t="s">
        <v>738</v>
      </c>
      <c r="H151" s="9" t="s">
        <v>739</v>
      </c>
      <c r="I151" s="9" t="s">
        <v>279</v>
      </c>
      <c r="J151" s="9" t="s">
        <v>777</v>
      </c>
      <c r="K151" s="9" t="s">
        <v>741</v>
      </c>
      <c r="L151" s="9" t="s">
        <v>742</v>
      </c>
      <c r="M151" s="9">
        <v>16</v>
      </c>
      <c r="N151" s="9">
        <v>9</v>
      </c>
      <c r="O151" s="9" t="s">
        <v>57</v>
      </c>
      <c r="P151" s="9" t="s">
        <v>58</v>
      </c>
      <c r="Q151" s="9">
        <v>1068</v>
      </c>
      <c r="R151" s="9">
        <v>125</v>
      </c>
      <c r="S151" s="9">
        <v>943</v>
      </c>
      <c r="T151" s="9">
        <v>256</v>
      </c>
      <c r="U151" s="9">
        <v>0</v>
      </c>
      <c r="V151" s="9" t="s">
        <v>114</v>
      </c>
      <c r="W151" s="9">
        <v>0</v>
      </c>
      <c r="X151" s="9">
        <v>0</v>
      </c>
      <c r="Y151" s="9">
        <v>0</v>
      </c>
      <c r="Z151" s="9">
        <v>0</v>
      </c>
      <c r="AA151" s="9">
        <v>267</v>
      </c>
      <c r="AB151" s="9">
        <v>11</v>
      </c>
      <c r="AC151" s="9">
        <v>14</v>
      </c>
      <c r="AD151" s="9" t="s">
        <v>0</v>
      </c>
      <c r="AE151" s="9" t="s">
        <v>60</v>
      </c>
    </row>
    <row r="152" spans="1:31" ht="178.5" x14ac:dyDescent="0.2">
      <c r="A152" s="8" t="str">
        <f>HYPERLINK("http://www.patentics.cn/invokexml.do?sx=showpatent_cn&amp;sf=ShowPatent&amp;spn=US9500853&amp;sx=showpatent_cn&amp;sv=b80dedfd0627f9b3b3f8b3f976e9c021","US9500853")</f>
        <v>US9500853</v>
      </c>
      <c r="B152" s="9" t="s">
        <v>778</v>
      </c>
      <c r="C152" s="9" t="s">
        <v>779</v>
      </c>
      <c r="D152" s="9" t="s">
        <v>780</v>
      </c>
      <c r="E152" s="9" t="s">
        <v>49</v>
      </c>
      <c r="F152" s="9" t="s">
        <v>781</v>
      </c>
      <c r="G152" s="9" t="s">
        <v>738</v>
      </c>
      <c r="H152" s="9" t="s">
        <v>739</v>
      </c>
      <c r="I152" s="9" t="s">
        <v>279</v>
      </c>
      <c r="J152" s="9" t="s">
        <v>782</v>
      </c>
      <c r="K152" s="9" t="s">
        <v>622</v>
      </c>
      <c r="L152" s="9" t="s">
        <v>631</v>
      </c>
      <c r="M152" s="9">
        <v>18</v>
      </c>
      <c r="N152" s="9">
        <v>11</v>
      </c>
      <c r="O152" s="9" t="s">
        <v>57</v>
      </c>
      <c r="P152" s="9" t="s">
        <v>58</v>
      </c>
      <c r="Q152" s="9">
        <v>993</v>
      </c>
      <c r="R152" s="9">
        <v>95</v>
      </c>
      <c r="S152" s="9">
        <v>898</v>
      </c>
      <c r="T152" s="9">
        <v>253</v>
      </c>
      <c r="U152" s="9">
        <v>0</v>
      </c>
      <c r="V152" s="9" t="s">
        <v>114</v>
      </c>
      <c r="W152" s="9">
        <v>0</v>
      </c>
      <c r="X152" s="9">
        <v>0</v>
      </c>
      <c r="Y152" s="9">
        <v>0</v>
      </c>
      <c r="Z152" s="9">
        <v>0</v>
      </c>
      <c r="AA152" s="9">
        <v>267</v>
      </c>
      <c r="AB152" s="9">
        <v>11</v>
      </c>
      <c r="AC152" s="9">
        <v>14</v>
      </c>
      <c r="AD152" s="9" t="s">
        <v>0</v>
      </c>
      <c r="AE152" s="9" t="s">
        <v>60</v>
      </c>
    </row>
    <row r="153" spans="1:31" ht="25.5" x14ac:dyDescent="0.2">
      <c r="A153" s="6" t="str">
        <f>HYPERLINK("http://www.patentics.cn/invokexml.do?sx=showpatent_cn&amp;sf=ShowPatent&amp;spn=CN101581828&amp;sx=showpatent_cn&amp;sv=5a92f60fa52341cf6cc27f438f37a3e5","CN101581828")</f>
        <v>CN101581828</v>
      </c>
      <c r="B153" s="7" t="s">
        <v>783</v>
      </c>
      <c r="C153" s="7" t="s">
        <v>784</v>
      </c>
      <c r="D153" s="7" t="s">
        <v>785</v>
      </c>
      <c r="E153" s="7" t="s">
        <v>785</v>
      </c>
      <c r="F153" s="7" t="s">
        <v>786</v>
      </c>
      <c r="G153" s="7" t="s">
        <v>787</v>
      </c>
      <c r="H153" s="7" t="s">
        <v>788</v>
      </c>
      <c r="I153" s="7" t="s">
        <v>788</v>
      </c>
      <c r="J153" s="7" t="s">
        <v>789</v>
      </c>
      <c r="K153" s="7" t="s">
        <v>622</v>
      </c>
      <c r="L153" s="7" t="s">
        <v>790</v>
      </c>
      <c r="M153" s="7">
        <v>6</v>
      </c>
      <c r="N153" s="7">
        <v>22</v>
      </c>
      <c r="O153" s="7" t="s">
        <v>42</v>
      </c>
      <c r="P153" s="7" t="s">
        <v>43</v>
      </c>
      <c r="Q153" s="7">
        <v>0</v>
      </c>
      <c r="R153" s="7">
        <v>0</v>
      </c>
      <c r="S153" s="7">
        <v>0</v>
      </c>
      <c r="T153" s="7">
        <v>0</v>
      </c>
      <c r="U153" s="7">
        <v>11</v>
      </c>
      <c r="V153" s="7" t="s">
        <v>791</v>
      </c>
      <c r="W153" s="7">
        <v>0</v>
      </c>
      <c r="X153" s="7">
        <v>11</v>
      </c>
      <c r="Y153" s="7">
        <v>1</v>
      </c>
      <c r="Z153" s="7">
        <v>2</v>
      </c>
      <c r="AA153" s="7">
        <v>1</v>
      </c>
      <c r="AB153" s="7">
        <v>1</v>
      </c>
      <c r="AC153" s="7" t="s">
        <v>0</v>
      </c>
      <c r="AD153" s="7">
        <v>11</v>
      </c>
      <c r="AE153" s="7" t="s">
        <v>532</v>
      </c>
    </row>
    <row r="154" spans="1:31" ht="63.75" x14ac:dyDescent="0.2">
      <c r="A154" s="8" t="str">
        <f>HYPERLINK("http://www.patentics.cn/invokexml.do?sx=showpatent_cn&amp;sf=ShowPatent&amp;spn=US9294672&amp;sx=showpatent_cn&amp;sv=971df8939f3db62be9f510435c070a8b","US9294672")</f>
        <v>US9294672</v>
      </c>
      <c r="B154" s="9" t="s">
        <v>792</v>
      </c>
      <c r="C154" s="9" t="s">
        <v>793</v>
      </c>
      <c r="D154" s="9" t="s">
        <v>48</v>
      </c>
      <c r="E154" s="9" t="s">
        <v>49</v>
      </c>
      <c r="F154" s="9" t="s">
        <v>794</v>
      </c>
      <c r="G154" s="9" t="s">
        <v>795</v>
      </c>
      <c r="H154" s="9" t="s">
        <v>796</v>
      </c>
      <c r="I154" s="9" t="s">
        <v>797</v>
      </c>
      <c r="J154" s="9" t="s">
        <v>798</v>
      </c>
      <c r="K154" s="9" t="s">
        <v>714</v>
      </c>
      <c r="L154" s="9" t="s">
        <v>799</v>
      </c>
      <c r="M154" s="9">
        <v>26</v>
      </c>
      <c r="N154" s="9">
        <v>12</v>
      </c>
      <c r="O154" s="9" t="s">
        <v>57</v>
      </c>
      <c r="P154" s="9" t="s">
        <v>58</v>
      </c>
      <c r="Q154" s="9">
        <v>192</v>
      </c>
      <c r="R154" s="9">
        <v>5</v>
      </c>
      <c r="S154" s="9">
        <v>187</v>
      </c>
      <c r="T154" s="9">
        <v>98</v>
      </c>
      <c r="U154" s="9">
        <v>0</v>
      </c>
      <c r="V154" s="9" t="s">
        <v>114</v>
      </c>
      <c r="W154" s="9">
        <v>0</v>
      </c>
      <c r="X154" s="9">
        <v>0</v>
      </c>
      <c r="Y154" s="9">
        <v>0</v>
      </c>
      <c r="Z154" s="9">
        <v>0</v>
      </c>
      <c r="AA154" s="9">
        <v>24</v>
      </c>
      <c r="AB154" s="9">
        <v>6</v>
      </c>
      <c r="AC154" s="9">
        <v>14</v>
      </c>
      <c r="AD154" s="9" t="s">
        <v>0</v>
      </c>
      <c r="AE154" s="9" t="s">
        <v>60</v>
      </c>
    </row>
    <row r="155" spans="1:31" ht="38.25" x14ac:dyDescent="0.2">
      <c r="A155" s="8" t="str">
        <f>HYPERLINK("http://www.patentics.cn/invokexml.do?sx=showpatent_cn&amp;sf=ShowPatent&amp;spn=US9374516&amp;sx=showpatent_cn&amp;sv=67348798b8c2cfd0a26f81fc8cbdeecc","US9374516")</f>
        <v>US9374516</v>
      </c>
      <c r="B155" s="9" t="s">
        <v>800</v>
      </c>
      <c r="C155" s="9" t="s">
        <v>801</v>
      </c>
      <c r="D155" s="9" t="s">
        <v>48</v>
      </c>
      <c r="E155" s="9" t="s">
        <v>49</v>
      </c>
      <c r="F155" s="9" t="s">
        <v>802</v>
      </c>
      <c r="G155" s="9" t="s">
        <v>802</v>
      </c>
      <c r="H155" s="9" t="s">
        <v>803</v>
      </c>
      <c r="I155" s="9" t="s">
        <v>804</v>
      </c>
      <c r="J155" s="9" t="s">
        <v>805</v>
      </c>
      <c r="K155" s="9" t="s">
        <v>714</v>
      </c>
      <c r="L155" s="9" t="s">
        <v>806</v>
      </c>
      <c r="M155" s="9">
        <v>24</v>
      </c>
      <c r="N155" s="9">
        <v>26</v>
      </c>
      <c r="O155" s="9" t="s">
        <v>57</v>
      </c>
      <c r="P155" s="9" t="s">
        <v>58</v>
      </c>
      <c r="Q155" s="9">
        <v>236</v>
      </c>
      <c r="R155" s="9">
        <v>13</v>
      </c>
      <c r="S155" s="9">
        <v>223</v>
      </c>
      <c r="T155" s="9">
        <v>112</v>
      </c>
      <c r="U155" s="9">
        <v>0</v>
      </c>
      <c r="V155" s="9" t="s">
        <v>114</v>
      </c>
      <c r="W155" s="9">
        <v>0</v>
      </c>
      <c r="X155" s="9">
        <v>0</v>
      </c>
      <c r="Y155" s="9">
        <v>0</v>
      </c>
      <c r="Z155" s="9">
        <v>0</v>
      </c>
      <c r="AA155" s="9">
        <v>13</v>
      </c>
      <c r="AB155" s="9">
        <v>5</v>
      </c>
      <c r="AC155" s="9">
        <v>14</v>
      </c>
      <c r="AD155" s="9" t="s">
        <v>0</v>
      </c>
      <c r="AE155" s="9" t="s">
        <v>60</v>
      </c>
    </row>
    <row r="156" spans="1:31" ht="38.25" x14ac:dyDescent="0.2">
      <c r="A156" s="8" t="str">
        <f>HYPERLINK("http://www.patentics.cn/invokexml.do?sx=showpatent_cn&amp;sf=ShowPatent&amp;spn=US9383550&amp;sx=showpatent_cn&amp;sv=5d9a6326e7a72c92b592b6649389dac0","US9383550")</f>
        <v>US9383550</v>
      </c>
      <c r="B156" s="9" t="s">
        <v>807</v>
      </c>
      <c r="C156" s="9" t="s">
        <v>801</v>
      </c>
      <c r="D156" s="9" t="s">
        <v>48</v>
      </c>
      <c r="E156" s="9" t="s">
        <v>49</v>
      </c>
      <c r="F156" s="9" t="s">
        <v>802</v>
      </c>
      <c r="G156" s="9" t="s">
        <v>802</v>
      </c>
      <c r="H156" s="9" t="s">
        <v>803</v>
      </c>
      <c r="I156" s="9" t="s">
        <v>808</v>
      </c>
      <c r="J156" s="9" t="s">
        <v>809</v>
      </c>
      <c r="K156" s="9" t="s">
        <v>622</v>
      </c>
      <c r="L156" s="9" t="s">
        <v>810</v>
      </c>
      <c r="M156" s="9">
        <v>30</v>
      </c>
      <c r="N156" s="9">
        <v>23</v>
      </c>
      <c r="O156" s="9" t="s">
        <v>57</v>
      </c>
      <c r="P156" s="9" t="s">
        <v>58</v>
      </c>
      <c r="Q156" s="9">
        <v>236</v>
      </c>
      <c r="R156" s="9">
        <v>13</v>
      </c>
      <c r="S156" s="9">
        <v>223</v>
      </c>
      <c r="T156" s="9">
        <v>112</v>
      </c>
      <c r="U156" s="9">
        <v>0</v>
      </c>
      <c r="V156" s="9" t="s">
        <v>114</v>
      </c>
      <c r="W156" s="9">
        <v>0</v>
      </c>
      <c r="X156" s="9">
        <v>0</v>
      </c>
      <c r="Y156" s="9">
        <v>0</v>
      </c>
      <c r="Z156" s="9">
        <v>0</v>
      </c>
      <c r="AA156" s="9">
        <v>13</v>
      </c>
      <c r="AB156" s="9">
        <v>5</v>
      </c>
      <c r="AC156" s="9">
        <v>14</v>
      </c>
      <c r="AD156" s="9" t="s">
        <v>0</v>
      </c>
      <c r="AE156" s="9" t="s">
        <v>60</v>
      </c>
    </row>
    <row r="157" spans="1:31" ht="102" x14ac:dyDescent="0.2">
      <c r="A157" s="8" t="str">
        <f>HYPERLINK("http://www.patentics.cn/invokexml.do?sx=showpatent_cn&amp;sf=ShowPatent&amp;spn=US9386222&amp;sx=showpatent_cn&amp;sv=5f57209585cd4a71a0cf2bb3d24c110b","US9386222")</f>
        <v>US9386222</v>
      </c>
      <c r="B157" s="9" t="s">
        <v>811</v>
      </c>
      <c r="C157" s="9" t="s">
        <v>812</v>
      </c>
      <c r="D157" s="9" t="s">
        <v>48</v>
      </c>
      <c r="E157" s="9" t="s">
        <v>49</v>
      </c>
      <c r="F157" s="9" t="s">
        <v>813</v>
      </c>
      <c r="G157" s="9" t="s">
        <v>795</v>
      </c>
      <c r="H157" s="9" t="s">
        <v>796</v>
      </c>
      <c r="I157" s="9" t="s">
        <v>814</v>
      </c>
      <c r="J157" s="9" t="s">
        <v>809</v>
      </c>
      <c r="K157" s="9" t="s">
        <v>714</v>
      </c>
      <c r="L157" s="9" t="s">
        <v>806</v>
      </c>
      <c r="M157" s="9">
        <v>30</v>
      </c>
      <c r="N157" s="9">
        <v>21</v>
      </c>
      <c r="O157" s="9" t="s">
        <v>57</v>
      </c>
      <c r="P157" s="9" t="s">
        <v>58</v>
      </c>
      <c r="Q157" s="9">
        <v>236</v>
      </c>
      <c r="R157" s="9">
        <v>13</v>
      </c>
      <c r="S157" s="9">
        <v>223</v>
      </c>
      <c r="T157" s="9">
        <v>112</v>
      </c>
      <c r="U157" s="9">
        <v>0</v>
      </c>
      <c r="V157" s="9" t="s">
        <v>114</v>
      </c>
      <c r="W157" s="9">
        <v>0</v>
      </c>
      <c r="X157" s="9">
        <v>0</v>
      </c>
      <c r="Y157" s="9">
        <v>0</v>
      </c>
      <c r="Z157" s="9">
        <v>0</v>
      </c>
      <c r="AA157" s="9">
        <v>8</v>
      </c>
      <c r="AB157" s="9">
        <v>6</v>
      </c>
      <c r="AC157" s="9">
        <v>14</v>
      </c>
      <c r="AD157" s="9" t="s">
        <v>0</v>
      </c>
      <c r="AE157" s="9" t="s">
        <v>60</v>
      </c>
    </row>
    <row r="158" spans="1:31" ht="89.25" x14ac:dyDescent="0.2">
      <c r="A158" s="8" t="str">
        <f>HYPERLINK("http://www.patentics.cn/invokexml.do?sx=showpatent_cn&amp;sf=ShowPatent&amp;spn=US9398264&amp;sx=showpatent_cn&amp;sv=57851f8020f20fc110ff680533c90ebd","US9398264")</f>
        <v>US9398264</v>
      </c>
      <c r="B158" s="9" t="s">
        <v>815</v>
      </c>
      <c r="C158" s="9" t="s">
        <v>816</v>
      </c>
      <c r="D158" s="9" t="s">
        <v>48</v>
      </c>
      <c r="E158" s="9" t="s">
        <v>49</v>
      </c>
      <c r="F158" s="9" t="s">
        <v>817</v>
      </c>
      <c r="G158" s="9" t="s">
        <v>818</v>
      </c>
      <c r="H158" s="9" t="s">
        <v>819</v>
      </c>
      <c r="I158" s="9" t="s">
        <v>820</v>
      </c>
      <c r="J158" s="9" t="s">
        <v>821</v>
      </c>
      <c r="K158" s="9" t="s">
        <v>714</v>
      </c>
      <c r="L158" s="9" t="s">
        <v>806</v>
      </c>
      <c r="M158" s="9">
        <v>21</v>
      </c>
      <c r="N158" s="9">
        <v>17</v>
      </c>
      <c r="O158" s="9" t="s">
        <v>57</v>
      </c>
      <c r="P158" s="9" t="s">
        <v>58</v>
      </c>
      <c r="Q158" s="9">
        <v>240</v>
      </c>
      <c r="R158" s="9">
        <v>15</v>
      </c>
      <c r="S158" s="9">
        <v>225</v>
      </c>
      <c r="T158" s="9">
        <v>113</v>
      </c>
      <c r="U158" s="9">
        <v>0</v>
      </c>
      <c r="V158" s="9" t="s">
        <v>114</v>
      </c>
      <c r="W158" s="9">
        <v>0</v>
      </c>
      <c r="X158" s="9">
        <v>0</v>
      </c>
      <c r="Y158" s="9">
        <v>0</v>
      </c>
      <c r="Z158" s="9">
        <v>0</v>
      </c>
      <c r="AA158" s="9">
        <v>7</v>
      </c>
      <c r="AB158" s="9">
        <v>6</v>
      </c>
      <c r="AC158" s="9">
        <v>14</v>
      </c>
      <c r="AD158" s="9" t="s">
        <v>0</v>
      </c>
      <c r="AE158" s="9" t="s">
        <v>60</v>
      </c>
    </row>
    <row r="159" spans="1:31" ht="102" x14ac:dyDescent="0.2">
      <c r="A159" s="8" t="str">
        <f>HYPERLINK("http://www.patentics.cn/invokexml.do?sx=showpatent_cn&amp;sf=ShowPatent&amp;spn=US9438889&amp;sx=showpatent_cn&amp;sv=e0ba4494fb405ec8cb9511ee6ec68246","US9438889")</f>
        <v>US9438889</v>
      </c>
      <c r="B159" s="9" t="s">
        <v>822</v>
      </c>
      <c r="C159" s="9" t="s">
        <v>823</v>
      </c>
      <c r="D159" s="9" t="s">
        <v>48</v>
      </c>
      <c r="E159" s="9" t="s">
        <v>49</v>
      </c>
      <c r="F159" s="9" t="s">
        <v>824</v>
      </c>
      <c r="G159" s="9" t="s">
        <v>825</v>
      </c>
      <c r="H159" s="9" t="s">
        <v>0</v>
      </c>
      <c r="I159" s="9" t="s">
        <v>826</v>
      </c>
      <c r="J159" s="9" t="s">
        <v>827</v>
      </c>
      <c r="K159" s="9" t="s">
        <v>714</v>
      </c>
      <c r="L159" s="9" t="s">
        <v>828</v>
      </c>
      <c r="M159" s="9">
        <v>20</v>
      </c>
      <c r="N159" s="9">
        <v>16</v>
      </c>
      <c r="O159" s="9" t="s">
        <v>57</v>
      </c>
      <c r="P159" s="9" t="s">
        <v>58</v>
      </c>
      <c r="Q159" s="9">
        <v>251</v>
      </c>
      <c r="R159" s="9">
        <v>17</v>
      </c>
      <c r="S159" s="9">
        <v>234</v>
      </c>
      <c r="T159" s="9">
        <v>117</v>
      </c>
      <c r="U159" s="9">
        <v>0</v>
      </c>
      <c r="V159" s="9" t="s">
        <v>114</v>
      </c>
      <c r="W159" s="9">
        <v>0</v>
      </c>
      <c r="X159" s="9">
        <v>0</v>
      </c>
      <c r="Y159" s="9">
        <v>0</v>
      </c>
      <c r="Z159" s="9">
        <v>0</v>
      </c>
      <c r="AA159" s="9">
        <v>0</v>
      </c>
      <c r="AB159" s="9">
        <v>0</v>
      </c>
      <c r="AC159" s="9">
        <v>14</v>
      </c>
      <c r="AD159" s="9" t="s">
        <v>0</v>
      </c>
      <c r="AE159" s="9" t="s">
        <v>60</v>
      </c>
    </row>
    <row r="160" spans="1:31" ht="89.25" x14ac:dyDescent="0.2">
      <c r="A160" s="8" t="str">
        <f>HYPERLINK("http://www.patentics.cn/invokexml.do?sx=showpatent_cn&amp;sf=ShowPatent&amp;spn=US9485495&amp;sx=showpatent_cn&amp;sv=512c02ebe9e0c8e88c00179b2b77c611","US9485495")</f>
        <v>US9485495</v>
      </c>
      <c r="B160" s="9" t="s">
        <v>829</v>
      </c>
      <c r="C160" s="9" t="s">
        <v>830</v>
      </c>
      <c r="D160" s="9" t="s">
        <v>48</v>
      </c>
      <c r="E160" s="9" t="s">
        <v>49</v>
      </c>
      <c r="F160" s="9" t="s">
        <v>831</v>
      </c>
      <c r="G160" s="9" t="s">
        <v>832</v>
      </c>
      <c r="H160" s="9" t="s">
        <v>833</v>
      </c>
      <c r="I160" s="9" t="s">
        <v>834</v>
      </c>
      <c r="J160" s="9" t="s">
        <v>835</v>
      </c>
      <c r="K160" s="9" t="s">
        <v>714</v>
      </c>
      <c r="L160" s="9" t="s">
        <v>828</v>
      </c>
      <c r="M160" s="9">
        <v>38</v>
      </c>
      <c r="N160" s="9">
        <v>11</v>
      </c>
      <c r="O160" s="9" t="s">
        <v>57</v>
      </c>
      <c r="P160" s="9" t="s">
        <v>58</v>
      </c>
      <c r="Q160" s="9">
        <v>252</v>
      </c>
      <c r="R160" s="9">
        <v>16</v>
      </c>
      <c r="S160" s="9">
        <v>236</v>
      </c>
      <c r="T160" s="9">
        <v>118</v>
      </c>
      <c r="U160" s="9">
        <v>0</v>
      </c>
      <c r="V160" s="9" t="s">
        <v>114</v>
      </c>
      <c r="W160" s="9">
        <v>0</v>
      </c>
      <c r="X160" s="9">
        <v>0</v>
      </c>
      <c r="Y160" s="9">
        <v>0</v>
      </c>
      <c r="Z160" s="9">
        <v>0</v>
      </c>
      <c r="AA160" s="9">
        <v>8</v>
      </c>
      <c r="AB160" s="9">
        <v>6</v>
      </c>
      <c r="AC160" s="9">
        <v>14</v>
      </c>
      <c r="AD160" s="9" t="s">
        <v>0</v>
      </c>
      <c r="AE160" s="9" t="s">
        <v>60</v>
      </c>
    </row>
    <row r="161" spans="1:31" ht="38.25" x14ac:dyDescent="0.2">
      <c r="A161" s="8" t="str">
        <f>HYPERLINK("http://www.patentics.cn/invokexml.do?sx=showpatent_cn&amp;sf=ShowPatent&amp;spn=US9541740&amp;sx=showpatent_cn&amp;sv=578088dc6182bc427b96da9c32183340","US9541740")</f>
        <v>US9541740</v>
      </c>
      <c r="B161" s="9" t="s">
        <v>836</v>
      </c>
      <c r="C161" s="9" t="s">
        <v>837</v>
      </c>
      <c r="D161" s="9" t="s">
        <v>48</v>
      </c>
      <c r="E161" s="9" t="s">
        <v>49</v>
      </c>
      <c r="F161" s="9" t="s">
        <v>795</v>
      </c>
      <c r="G161" s="9" t="s">
        <v>795</v>
      </c>
      <c r="H161" s="9" t="s">
        <v>796</v>
      </c>
      <c r="I161" s="9" t="s">
        <v>838</v>
      </c>
      <c r="J161" s="9" t="s">
        <v>521</v>
      </c>
      <c r="K161" s="9" t="s">
        <v>714</v>
      </c>
      <c r="L161" s="9" t="s">
        <v>806</v>
      </c>
      <c r="M161" s="9">
        <v>30</v>
      </c>
      <c r="N161" s="9">
        <v>21</v>
      </c>
      <c r="O161" s="9" t="s">
        <v>57</v>
      </c>
      <c r="P161" s="9" t="s">
        <v>58</v>
      </c>
      <c r="Q161" s="9">
        <v>254</v>
      </c>
      <c r="R161" s="9">
        <v>18</v>
      </c>
      <c r="S161" s="9">
        <v>236</v>
      </c>
      <c r="T161" s="9">
        <v>118</v>
      </c>
      <c r="U161" s="9">
        <v>0</v>
      </c>
      <c r="V161" s="9" t="s">
        <v>114</v>
      </c>
      <c r="W161" s="9">
        <v>0</v>
      </c>
      <c r="X161" s="9">
        <v>0</v>
      </c>
      <c r="Y161" s="9">
        <v>0</v>
      </c>
      <c r="Z161" s="9">
        <v>0</v>
      </c>
      <c r="AA161" s="9">
        <v>7</v>
      </c>
      <c r="AB161" s="9">
        <v>6</v>
      </c>
      <c r="AC161" s="9">
        <v>14</v>
      </c>
      <c r="AD161" s="9" t="s">
        <v>0</v>
      </c>
      <c r="AE161" s="9" t="s">
        <v>60</v>
      </c>
    </row>
    <row r="162" spans="1:31" ht="38.25" x14ac:dyDescent="0.2">
      <c r="A162" s="8" t="str">
        <f>HYPERLINK("http://www.patentics.cn/invokexml.do?sx=showpatent_cn&amp;sf=ShowPatent&amp;spn=US9549107&amp;sx=showpatent_cn&amp;sv=c3f9344d5bfc7c0538fdd5ea092b0a16","US9549107")</f>
        <v>US9549107</v>
      </c>
      <c r="B162" s="9" t="s">
        <v>839</v>
      </c>
      <c r="C162" s="9" t="s">
        <v>840</v>
      </c>
      <c r="D162" s="9" t="s">
        <v>48</v>
      </c>
      <c r="E162" s="9" t="s">
        <v>49</v>
      </c>
      <c r="F162" s="9" t="s">
        <v>795</v>
      </c>
      <c r="G162" s="9" t="s">
        <v>795</v>
      </c>
      <c r="H162" s="9" t="s">
        <v>796</v>
      </c>
      <c r="I162" s="9" t="s">
        <v>838</v>
      </c>
      <c r="J162" s="9" t="s">
        <v>841</v>
      </c>
      <c r="K162" s="9" t="s">
        <v>714</v>
      </c>
      <c r="L162" s="9" t="s">
        <v>806</v>
      </c>
      <c r="M162" s="9">
        <v>26</v>
      </c>
      <c r="N162" s="9">
        <v>18</v>
      </c>
      <c r="O162" s="9" t="s">
        <v>57</v>
      </c>
      <c r="P162" s="9" t="s">
        <v>58</v>
      </c>
      <c r="Q162" s="9">
        <v>239</v>
      </c>
      <c r="R162" s="9">
        <v>14</v>
      </c>
      <c r="S162" s="9">
        <v>225</v>
      </c>
      <c r="T162" s="9">
        <v>113</v>
      </c>
      <c r="U162" s="9">
        <v>0</v>
      </c>
      <c r="V162" s="9" t="s">
        <v>114</v>
      </c>
      <c r="W162" s="9">
        <v>0</v>
      </c>
      <c r="X162" s="9">
        <v>0</v>
      </c>
      <c r="Y162" s="9">
        <v>0</v>
      </c>
      <c r="Z162" s="9">
        <v>0</v>
      </c>
      <c r="AA162" s="9">
        <v>6</v>
      </c>
      <c r="AB162" s="9">
        <v>6</v>
      </c>
      <c r="AC162" s="9">
        <v>14</v>
      </c>
      <c r="AD162" s="9" t="s">
        <v>0</v>
      </c>
      <c r="AE162" s="9" t="s">
        <v>60</v>
      </c>
    </row>
    <row r="163" spans="1:31" ht="102" x14ac:dyDescent="0.2">
      <c r="A163" s="8" t="str">
        <f>HYPERLINK("http://www.patentics.cn/invokexml.do?sx=showpatent_cn&amp;sf=ShowPatent&amp;spn=US9733458&amp;sx=showpatent_cn&amp;sv=b447e5f90493bf008ebf52763f41d9bb","US9733458")</f>
        <v>US9733458</v>
      </c>
      <c r="B163" s="9" t="s">
        <v>842</v>
      </c>
      <c r="C163" s="9" t="s">
        <v>812</v>
      </c>
      <c r="D163" s="9" t="s">
        <v>48</v>
      </c>
      <c r="E163" s="9" t="s">
        <v>49</v>
      </c>
      <c r="F163" s="9" t="s">
        <v>813</v>
      </c>
      <c r="G163" s="9" t="s">
        <v>795</v>
      </c>
      <c r="H163" s="9" t="s">
        <v>796</v>
      </c>
      <c r="I163" s="9" t="s">
        <v>843</v>
      </c>
      <c r="J163" s="9" t="s">
        <v>844</v>
      </c>
      <c r="K163" s="9" t="s">
        <v>714</v>
      </c>
      <c r="L163" s="9" t="s">
        <v>806</v>
      </c>
      <c r="M163" s="9">
        <v>20</v>
      </c>
      <c r="N163" s="9">
        <v>23</v>
      </c>
      <c r="O163" s="9" t="s">
        <v>57</v>
      </c>
      <c r="P163" s="9" t="s">
        <v>58</v>
      </c>
      <c r="Q163" s="9">
        <v>305</v>
      </c>
      <c r="R163" s="9">
        <v>23</v>
      </c>
      <c r="S163" s="9">
        <v>282</v>
      </c>
      <c r="T163" s="9">
        <v>136</v>
      </c>
      <c r="U163" s="9">
        <v>0</v>
      </c>
      <c r="V163" s="9" t="s">
        <v>114</v>
      </c>
      <c r="W163" s="9">
        <v>0</v>
      </c>
      <c r="X163" s="9">
        <v>0</v>
      </c>
      <c r="Y163" s="9">
        <v>0</v>
      </c>
      <c r="Z163" s="9">
        <v>0</v>
      </c>
      <c r="AA163" s="9">
        <v>8</v>
      </c>
      <c r="AB163" s="9">
        <v>6</v>
      </c>
      <c r="AC163" s="9">
        <v>14</v>
      </c>
      <c r="AD163" s="9" t="s">
        <v>0</v>
      </c>
      <c r="AE163" s="9" t="s">
        <v>60</v>
      </c>
    </row>
    <row r="164" spans="1:31" ht="38.25" x14ac:dyDescent="0.2">
      <c r="A164" s="8" t="str">
        <f>HYPERLINK("http://www.patentics.cn/invokexml.do?sx=showpatent_cn&amp;sf=ShowPatent&amp;spn=WO2015153901&amp;sx=showpatent_cn&amp;sv=84a3e8f65518908c6592821d521cc2b7","WO2015153901")</f>
        <v>WO2015153901</v>
      </c>
      <c r="B164" s="9" t="s">
        <v>845</v>
      </c>
      <c r="C164" s="9" t="s">
        <v>801</v>
      </c>
      <c r="D164" s="9" t="s">
        <v>117</v>
      </c>
      <c r="E164" s="9" t="s">
        <v>49</v>
      </c>
      <c r="F164" s="9" t="s">
        <v>846</v>
      </c>
      <c r="G164" s="9" t="s">
        <v>846</v>
      </c>
      <c r="H164" s="9" t="s">
        <v>803</v>
      </c>
      <c r="I164" s="9" t="s">
        <v>847</v>
      </c>
      <c r="J164" s="9" t="s">
        <v>848</v>
      </c>
      <c r="K164" s="9" t="s">
        <v>714</v>
      </c>
      <c r="L164" s="9" t="s">
        <v>849</v>
      </c>
      <c r="M164" s="9">
        <v>30</v>
      </c>
      <c r="N164" s="9">
        <v>22</v>
      </c>
      <c r="O164" s="9" t="s">
        <v>850</v>
      </c>
      <c r="P164" s="9" t="s">
        <v>58</v>
      </c>
      <c r="Q164" s="9">
        <v>6</v>
      </c>
      <c r="R164" s="9">
        <v>1</v>
      </c>
      <c r="S164" s="9">
        <v>5</v>
      </c>
      <c r="T164" s="9">
        <v>5</v>
      </c>
      <c r="U164" s="9">
        <v>0</v>
      </c>
      <c r="V164" s="9" t="s">
        <v>114</v>
      </c>
      <c r="W164" s="9">
        <v>0</v>
      </c>
      <c r="X164" s="9">
        <v>0</v>
      </c>
      <c r="Y164" s="9">
        <v>0</v>
      </c>
      <c r="Z164" s="9">
        <v>0</v>
      </c>
      <c r="AA164" s="9">
        <v>13</v>
      </c>
      <c r="AB164" s="9">
        <v>5</v>
      </c>
      <c r="AC164" s="9">
        <v>14</v>
      </c>
      <c r="AD164" s="9" t="s">
        <v>0</v>
      </c>
      <c r="AE164" s="9" t="s">
        <v>0</v>
      </c>
    </row>
    <row r="165" spans="1:31" ht="25.5" x14ac:dyDescent="0.2">
      <c r="A165" s="6" t="str">
        <f>HYPERLINK("http://www.patentics.cn/invokexml.do?sx=showpatent_cn&amp;sf=ShowPatent&amp;spn=CN102226740&amp;sx=showpatent_cn&amp;sv=7e0f13d4264bd1c4b2cd886301e9aebd","CN102226740")</f>
        <v>CN102226740</v>
      </c>
      <c r="B165" s="7" t="s">
        <v>851</v>
      </c>
      <c r="C165" s="7" t="s">
        <v>852</v>
      </c>
      <c r="D165" s="7" t="s">
        <v>853</v>
      </c>
      <c r="E165" s="7" t="s">
        <v>853</v>
      </c>
      <c r="F165" s="7" t="s">
        <v>854</v>
      </c>
      <c r="G165" s="7" t="s">
        <v>855</v>
      </c>
      <c r="H165" s="7" t="s">
        <v>856</v>
      </c>
      <c r="I165" s="7" t="s">
        <v>856</v>
      </c>
      <c r="J165" s="7" t="s">
        <v>857</v>
      </c>
      <c r="K165" s="7" t="s">
        <v>858</v>
      </c>
      <c r="L165" s="7" t="s">
        <v>859</v>
      </c>
      <c r="M165" s="7">
        <v>5</v>
      </c>
      <c r="N165" s="7">
        <v>25</v>
      </c>
      <c r="O165" s="7" t="s">
        <v>42</v>
      </c>
      <c r="P165" s="7" t="s">
        <v>43</v>
      </c>
      <c r="Q165" s="7">
        <v>3</v>
      </c>
      <c r="R165" s="7">
        <v>1</v>
      </c>
      <c r="S165" s="7">
        <v>2</v>
      </c>
      <c r="T165" s="7">
        <v>3</v>
      </c>
      <c r="U165" s="7">
        <v>76</v>
      </c>
      <c r="V165" s="7" t="s">
        <v>860</v>
      </c>
      <c r="W165" s="7">
        <v>0</v>
      </c>
      <c r="X165" s="7">
        <v>76</v>
      </c>
      <c r="Y165" s="7">
        <v>3</v>
      </c>
      <c r="Z165" s="7">
        <v>2</v>
      </c>
      <c r="AA165" s="7">
        <v>1</v>
      </c>
      <c r="AB165" s="7">
        <v>1</v>
      </c>
      <c r="AC165" s="7" t="s">
        <v>0</v>
      </c>
      <c r="AD165" s="7">
        <v>10</v>
      </c>
      <c r="AE165" s="7" t="s">
        <v>532</v>
      </c>
    </row>
    <row r="166" spans="1:31" ht="165.75" x14ac:dyDescent="0.2">
      <c r="A166" s="8" t="str">
        <f>HYPERLINK("http://www.patentics.cn/invokexml.do?sx=showpatent_cn&amp;sf=ShowPatent&amp;spn=US9092738&amp;sx=showpatent_cn&amp;sv=73dc71d9c760d00c05a1488b9da39efb","US9092738")</f>
        <v>US9092738</v>
      </c>
      <c r="B166" s="9" t="s">
        <v>861</v>
      </c>
      <c r="C166" s="9" t="s">
        <v>862</v>
      </c>
      <c r="D166" s="9" t="s">
        <v>863</v>
      </c>
      <c r="E166" s="9" t="s">
        <v>49</v>
      </c>
      <c r="F166" s="9" t="s">
        <v>864</v>
      </c>
      <c r="G166" s="9" t="s">
        <v>865</v>
      </c>
      <c r="H166" s="9" t="s">
        <v>866</v>
      </c>
      <c r="I166" s="9" t="s">
        <v>867</v>
      </c>
      <c r="J166" s="9" t="s">
        <v>868</v>
      </c>
      <c r="K166" s="9" t="s">
        <v>869</v>
      </c>
      <c r="L166" s="9" t="s">
        <v>870</v>
      </c>
      <c r="M166" s="9">
        <v>17</v>
      </c>
      <c r="N166" s="9">
        <v>15</v>
      </c>
      <c r="O166" s="9" t="s">
        <v>57</v>
      </c>
      <c r="P166" s="9" t="s">
        <v>58</v>
      </c>
      <c r="Q166" s="9">
        <v>88</v>
      </c>
      <c r="R166" s="9">
        <v>1</v>
      </c>
      <c r="S166" s="9">
        <v>87</v>
      </c>
      <c r="T166" s="9">
        <v>30</v>
      </c>
      <c r="U166" s="9">
        <v>0</v>
      </c>
      <c r="V166" s="9" t="s">
        <v>114</v>
      </c>
      <c r="W166" s="9">
        <v>0</v>
      </c>
      <c r="X166" s="9">
        <v>0</v>
      </c>
      <c r="Y166" s="9">
        <v>0</v>
      </c>
      <c r="Z166" s="9">
        <v>0</v>
      </c>
      <c r="AA166" s="9">
        <v>32</v>
      </c>
      <c r="AB166" s="9">
        <v>3</v>
      </c>
      <c r="AC166" s="9">
        <v>14</v>
      </c>
      <c r="AD166" s="9" t="s">
        <v>0</v>
      </c>
      <c r="AE166" s="9" t="s">
        <v>60</v>
      </c>
    </row>
    <row r="167" spans="1:31" ht="153" x14ac:dyDescent="0.2">
      <c r="A167" s="8" t="str">
        <f>HYPERLINK("http://www.patentics.cn/invokexml.do?sx=showpatent_cn&amp;sf=ShowPatent&amp;spn=US9104973&amp;sx=showpatent_cn&amp;sv=38aa97746a417b30c5c4c4c9454dad08","US9104973")</f>
        <v>US9104973</v>
      </c>
      <c r="B167" s="9" t="s">
        <v>871</v>
      </c>
      <c r="C167" s="9" t="s">
        <v>872</v>
      </c>
      <c r="D167" s="9" t="s">
        <v>863</v>
      </c>
      <c r="E167" s="9" t="s">
        <v>49</v>
      </c>
      <c r="F167" s="9" t="s">
        <v>873</v>
      </c>
      <c r="G167" s="9" t="s">
        <v>865</v>
      </c>
      <c r="H167" s="9" t="s">
        <v>866</v>
      </c>
      <c r="I167" s="9" t="s">
        <v>866</v>
      </c>
      <c r="J167" s="9" t="s">
        <v>874</v>
      </c>
      <c r="K167" s="9" t="s">
        <v>869</v>
      </c>
      <c r="L167" s="9" t="s">
        <v>875</v>
      </c>
      <c r="M167" s="9">
        <v>67</v>
      </c>
      <c r="N167" s="9">
        <v>11</v>
      </c>
      <c r="O167" s="9" t="s">
        <v>57</v>
      </c>
      <c r="P167" s="9" t="s">
        <v>58</v>
      </c>
      <c r="Q167" s="9">
        <v>85</v>
      </c>
      <c r="R167" s="9">
        <v>1</v>
      </c>
      <c r="S167" s="9">
        <v>84</v>
      </c>
      <c r="T167" s="9">
        <v>30</v>
      </c>
      <c r="U167" s="9">
        <v>2</v>
      </c>
      <c r="V167" s="9" t="s">
        <v>82</v>
      </c>
      <c r="W167" s="9">
        <v>0</v>
      </c>
      <c r="X167" s="9">
        <v>2</v>
      </c>
      <c r="Y167" s="9">
        <v>1</v>
      </c>
      <c r="Z167" s="9">
        <v>1</v>
      </c>
      <c r="AA167" s="9">
        <v>32</v>
      </c>
      <c r="AB167" s="9">
        <v>3</v>
      </c>
      <c r="AC167" s="9">
        <v>14</v>
      </c>
      <c r="AD167" s="9" t="s">
        <v>0</v>
      </c>
      <c r="AE167" s="9" t="s">
        <v>60</v>
      </c>
    </row>
    <row r="168" spans="1:31" ht="140.25" x14ac:dyDescent="0.2">
      <c r="A168" s="8" t="str">
        <f>HYPERLINK("http://www.patentics.cn/invokexml.do?sx=showpatent_cn&amp;sf=ShowPatent&amp;spn=US9117176&amp;sx=showpatent_cn&amp;sv=cacdb300585141172af4dc6b5e20857e","US9117176")</f>
        <v>US9117176</v>
      </c>
      <c r="B168" s="9" t="s">
        <v>876</v>
      </c>
      <c r="C168" s="9" t="s">
        <v>877</v>
      </c>
      <c r="D168" s="9" t="s">
        <v>863</v>
      </c>
      <c r="E168" s="9" t="s">
        <v>49</v>
      </c>
      <c r="F168" s="9" t="s">
        <v>878</v>
      </c>
      <c r="G168" s="9" t="s">
        <v>879</v>
      </c>
      <c r="H168" s="9" t="s">
        <v>866</v>
      </c>
      <c r="I168" s="9" t="s">
        <v>880</v>
      </c>
      <c r="J168" s="9" t="s">
        <v>445</v>
      </c>
      <c r="K168" s="9" t="s">
        <v>869</v>
      </c>
      <c r="L168" s="9" t="s">
        <v>881</v>
      </c>
      <c r="M168" s="9">
        <v>29</v>
      </c>
      <c r="N168" s="9">
        <v>15</v>
      </c>
      <c r="O168" s="9" t="s">
        <v>57</v>
      </c>
      <c r="P168" s="9" t="s">
        <v>58</v>
      </c>
      <c r="Q168" s="9">
        <v>88</v>
      </c>
      <c r="R168" s="9">
        <v>1</v>
      </c>
      <c r="S168" s="9">
        <v>87</v>
      </c>
      <c r="T168" s="9">
        <v>30</v>
      </c>
      <c r="U168" s="9">
        <v>0</v>
      </c>
      <c r="V168" s="9" t="s">
        <v>114</v>
      </c>
      <c r="W168" s="9">
        <v>0</v>
      </c>
      <c r="X168" s="9">
        <v>0</v>
      </c>
      <c r="Y168" s="9">
        <v>0</v>
      </c>
      <c r="Z168" s="9">
        <v>0</v>
      </c>
      <c r="AA168" s="9">
        <v>32</v>
      </c>
      <c r="AB168" s="9">
        <v>3</v>
      </c>
      <c r="AC168" s="9">
        <v>14</v>
      </c>
      <c r="AD168" s="9" t="s">
        <v>0</v>
      </c>
      <c r="AE168" s="9" t="s">
        <v>60</v>
      </c>
    </row>
    <row r="169" spans="1:31" ht="191.25" x14ac:dyDescent="0.2">
      <c r="A169" s="8" t="str">
        <f>HYPERLINK("http://www.patentics.cn/invokexml.do?sx=showpatent_cn&amp;sf=ShowPatent&amp;spn=US9147156&amp;sx=showpatent_cn&amp;sv=5de2343054e7eb714249652b3055eedd","US9147156")</f>
        <v>US9147156</v>
      </c>
      <c r="B169" s="9" t="s">
        <v>882</v>
      </c>
      <c r="C169" s="9" t="s">
        <v>883</v>
      </c>
      <c r="D169" s="9" t="s">
        <v>863</v>
      </c>
      <c r="E169" s="9" t="s">
        <v>49</v>
      </c>
      <c r="F169" s="9" t="s">
        <v>884</v>
      </c>
      <c r="G169" s="9" t="s">
        <v>865</v>
      </c>
      <c r="H169" s="9" t="s">
        <v>866</v>
      </c>
      <c r="I169" s="9" t="s">
        <v>866</v>
      </c>
      <c r="J169" s="9" t="s">
        <v>210</v>
      </c>
      <c r="K169" s="9" t="s">
        <v>885</v>
      </c>
      <c r="L169" s="9" t="s">
        <v>886</v>
      </c>
      <c r="M169" s="9">
        <v>34</v>
      </c>
      <c r="N169" s="9">
        <v>12</v>
      </c>
      <c r="O169" s="9" t="s">
        <v>57</v>
      </c>
      <c r="P169" s="9" t="s">
        <v>58</v>
      </c>
      <c r="Q169" s="9">
        <v>90</v>
      </c>
      <c r="R169" s="9">
        <v>1</v>
      </c>
      <c r="S169" s="9">
        <v>89</v>
      </c>
      <c r="T169" s="9">
        <v>30</v>
      </c>
      <c r="U169" s="9">
        <v>5</v>
      </c>
      <c r="V169" s="9" t="s">
        <v>484</v>
      </c>
      <c r="W169" s="9">
        <v>0</v>
      </c>
      <c r="X169" s="9">
        <v>5</v>
      </c>
      <c r="Y169" s="9">
        <v>2</v>
      </c>
      <c r="Z169" s="9">
        <v>1</v>
      </c>
      <c r="AA169" s="9">
        <v>32</v>
      </c>
      <c r="AB169" s="9">
        <v>3</v>
      </c>
      <c r="AC169" s="9">
        <v>14</v>
      </c>
      <c r="AD169" s="9" t="s">
        <v>0</v>
      </c>
      <c r="AE169" s="9" t="s">
        <v>60</v>
      </c>
    </row>
    <row r="170" spans="1:31" ht="191.25" x14ac:dyDescent="0.2">
      <c r="A170" s="8" t="str">
        <f>HYPERLINK("http://www.patentics.cn/invokexml.do?sx=showpatent_cn&amp;sf=ShowPatent&amp;spn=US9165245&amp;sx=showpatent_cn&amp;sv=3c3c945b73ca22b3d8e41c2c0aae268d","US9165245")</f>
        <v>US9165245</v>
      </c>
      <c r="B170" s="9" t="s">
        <v>887</v>
      </c>
      <c r="C170" s="9" t="s">
        <v>888</v>
      </c>
      <c r="D170" s="9" t="s">
        <v>863</v>
      </c>
      <c r="E170" s="9" t="s">
        <v>49</v>
      </c>
      <c r="F170" s="9" t="s">
        <v>884</v>
      </c>
      <c r="G170" s="9" t="s">
        <v>865</v>
      </c>
      <c r="H170" s="9" t="s">
        <v>866</v>
      </c>
      <c r="I170" s="9" t="s">
        <v>889</v>
      </c>
      <c r="J170" s="9" t="s">
        <v>477</v>
      </c>
      <c r="K170" s="9" t="s">
        <v>869</v>
      </c>
      <c r="L170" s="9" t="s">
        <v>890</v>
      </c>
      <c r="M170" s="9">
        <v>4</v>
      </c>
      <c r="N170" s="9">
        <v>13</v>
      </c>
      <c r="O170" s="9" t="s">
        <v>57</v>
      </c>
      <c r="P170" s="9" t="s">
        <v>58</v>
      </c>
      <c r="Q170" s="9">
        <v>85</v>
      </c>
      <c r="R170" s="9">
        <v>1</v>
      </c>
      <c r="S170" s="9">
        <v>84</v>
      </c>
      <c r="T170" s="9">
        <v>31</v>
      </c>
      <c r="U170" s="9">
        <v>0</v>
      </c>
      <c r="V170" s="9" t="s">
        <v>114</v>
      </c>
      <c r="W170" s="9">
        <v>0</v>
      </c>
      <c r="X170" s="9">
        <v>0</v>
      </c>
      <c r="Y170" s="9">
        <v>0</v>
      </c>
      <c r="Z170" s="9">
        <v>0</v>
      </c>
      <c r="AA170" s="9">
        <v>32</v>
      </c>
      <c r="AB170" s="9">
        <v>3</v>
      </c>
      <c r="AC170" s="9">
        <v>14</v>
      </c>
      <c r="AD170" s="9" t="s">
        <v>0</v>
      </c>
      <c r="AE170" s="9" t="s">
        <v>60</v>
      </c>
    </row>
    <row r="171" spans="1:31" ht="102" x14ac:dyDescent="0.2">
      <c r="A171" s="8" t="str">
        <f>HYPERLINK("http://www.patentics.cn/invokexml.do?sx=showpatent_cn&amp;sf=ShowPatent&amp;spn=US9256823&amp;sx=showpatent_cn&amp;sv=0c488b1025e3cdc6e7855525bac44703","US9256823")</f>
        <v>US9256823</v>
      </c>
      <c r="B171" s="9" t="s">
        <v>891</v>
      </c>
      <c r="C171" s="9" t="s">
        <v>892</v>
      </c>
      <c r="D171" s="9" t="s">
        <v>863</v>
      </c>
      <c r="E171" s="9" t="s">
        <v>49</v>
      </c>
      <c r="F171" s="9" t="s">
        <v>893</v>
      </c>
      <c r="G171" s="9" t="s">
        <v>894</v>
      </c>
      <c r="H171" s="9" t="s">
        <v>895</v>
      </c>
      <c r="I171" s="9" t="s">
        <v>895</v>
      </c>
      <c r="J171" s="9" t="s">
        <v>896</v>
      </c>
      <c r="K171" s="9" t="s">
        <v>869</v>
      </c>
      <c r="L171" s="9" t="s">
        <v>897</v>
      </c>
      <c r="M171" s="9">
        <v>24</v>
      </c>
      <c r="N171" s="9">
        <v>15</v>
      </c>
      <c r="O171" s="9" t="s">
        <v>57</v>
      </c>
      <c r="P171" s="9" t="s">
        <v>58</v>
      </c>
      <c r="Q171" s="9">
        <v>71</v>
      </c>
      <c r="R171" s="9">
        <v>1</v>
      </c>
      <c r="S171" s="9">
        <v>70</v>
      </c>
      <c r="T171" s="9">
        <v>29</v>
      </c>
      <c r="U171" s="9">
        <v>1</v>
      </c>
      <c r="V171" s="9" t="s">
        <v>82</v>
      </c>
      <c r="W171" s="9">
        <v>0</v>
      </c>
      <c r="X171" s="9">
        <v>1</v>
      </c>
      <c r="Y171" s="9">
        <v>1</v>
      </c>
      <c r="Z171" s="9">
        <v>1</v>
      </c>
      <c r="AA171" s="9">
        <v>6</v>
      </c>
      <c r="AB171" s="9">
        <v>5</v>
      </c>
      <c r="AC171" s="9">
        <v>14</v>
      </c>
      <c r="AD171" s="9" t="s">
        <v>0</v>
      </c>
      <c r="AE171" s="9" t="s">
        <v>60</v>
      </c>
    </row>
    <row r="172" spans="1:31" ht="216.75" x14ac:dyDescent="0.2">
      <c r="A172" s="8" t="str">
        <f>HYPERLINK("http://www.patentics.cn/invokexml.do?sx=showpatent_cn&amp;sf=ShowPatent&amp;spn=US9311596&amp;sx=showpatent_cn&amp;sv=577b98f635cb3fd8fd396bcf546ff446","US9311596")</f>
        <v>US9311596</v>
      </c>
      <c r="B172" s="9" t="s">
        <v>898</v>
      </c>
      <c r="C172" s="9" t="s">
        <v>899</v>
      </c>
      <c r="D172" s="9" t="s">
        <v>863</v>
      </c>
      <c r="E172" s="9" t="s">
        <v>49</v>
      </c>
      <c r="F172" s="9" t="s">
        <v>900</v>
      </c>
      <c r="G172" s="9" t="s">
        <v>865</v>
      </c>
      <c r="H172" s="9" t="s">
        <v>866</v>
      </c>
      <c r="I172" s="9" t="s">
        <v>867</v>
      </c>
      <c r="J172" s="9" t="s">
        <v>600</v>
      </c>
      <c r="K172" s="9" t="s">
        <v>869</v>
      </c>
      <c r="L172" s="9" t="s">
        <v>875</v>
      </c>
      <c r="M172" s="9">
        <v>19</v>
      </c>
      <c r="N172" s="9">
        <v>15</v>
      </c>
      <c r="O172" s="9" t="s">
        <v>57</v>
      </c>
      <c r="P172" s="9" t="s">
        <v>58</v>
      </c>
      <c r="Q172" s="9">
        <v>88</v>
      </c>
      <c r="R172" s="9">
        <v>1</v>
      </c>
      <c r="S172" s="9">
        <v>87</v>
      </c>
      <c r="T172" s="9">
        <v>30</v>
      </c>
      <c r="U172" s="9">
        <v>1</v>
      </c>
      <c r="V172" s="9" t="s">
        <v>131</v>
      </c>
      <c r="W172" s="9">
        <v>0</v>
      </c>
      <c r="X172" s="9">
        <v>1</v>
      </c>
      <c r="Y172" s="9">
        <v>1</v>
      </c>
      <c r="Z172" s="9">
        <v>1</v>
      </c>
      <c r="AA172" s="9">
        <v>32</v>
      </c>
      <c r="AB172" s="9">
        <v>3</v>
      </c>
      <c r="AC172" s="9">
        <v>14</v>
      </c>
      <c r="AD172" s="9" t="s">
        <v>0</v>
      </c>
      <c r="AE172" s="9" t="s">
        <v>60</v>
      </c>
    </row>
    <row r="173" spans="1:31" ht="102" x14ac:dyDescent="0.2">
      <c r="A173" s="8" t="str">
        <f>HYPERLINK("http://www.patentics.cn/invokexml.do?sx=showpatent_cn&amp;sf=ShowPatent&amp;spn=US9412064&amp;sx=showpatent_cn&amp;sv=23beab9614e915750779302ada9f8da6","US9412064")</f>
        <v>US9412064</v>
      </c>
      <c r="B173" s="9" t="s">
        <v>901</v>
      </c>
      <c r="C173" s="9" t="s">
        <v>902</v>
      </c>
      <c r="D173" s="9" t="s">
        <v>863</v>
      </c>
      <c r="E173" s="9" t="s">
        <v>49</v>
      </c>
      <c r="F173" s="9" t="s">
        <v>903</v>
      </c>
      <c r="G173" s="9" t="s">
        <v>879</v>
      </c>
      <c r="H173" s="9" t="s">
        <v>904</v>
      </c>
      <c r="I173" s="9" t="s">
        <v>905</v>
      </c>
      <c r="J173" s="9" t="s">
        <v>906</v>
      </c>
      <c r="K173" s="9" t="s">
        <v>885</v>
      </c>
      <c r="L173" s="9" t="s">
        <v>907</v>
      </c>
      <c r="M173" s="9">
        <v>11</v>
      </c>
      <c r="N173" s="9">
        <v>12</v>
      </c>
      <c r="O173" s="9" t="s">
        <v>57</v>
      </c>
      <c r="P173" s="9" t="s">
        <v>58</v>
      </c>
      <c r="Q173" s="9">
        <v>79</v>
      </c>
      <c r="R173" s="9">
        <v>1</v>
      </c>
      <c r="S173" s="9">
        <v>78</v>
      </c>
      <c r="T173" s="9">
        <v>30</v>
      </c>
      <c r="U173" s="9">
        <v>0</v>
      </c>
      <c r="V173" s="9" t="s">
        <v>114</v>
      </c>
      <c r="W173" s="9">
        <v>0</v>
      </c>
      <c r="X173" s="9">
        <v>0</v>
      </c>
      <c r="Y173" s="9">
        <v>0</v>
      </c>
      <c r="Z173" s="9">
        <v>0</v>
      </c>
      <c r="AA173" s="9">
        <v>1</v>
      </c>
      <c r="AB173" s="9">
        <v>1</v>
      </c>
      <c r="AC173" s="9">
        <v>14</v>
      </c>
      <c r="AD173" s="9" t="s">
        <v>0</v>
      </c>
      <c r="AE173" s="9" t="s">
        <v>60</v>
      </c>
    </row>
    <row r="174" spans="1:31" ht="38.25" x14ac:dyDescent="0.2">
      <c r="A174" s="8" t="str">
        <f>HYPERLINK("http://www.patentics.cn/invokexml.do?sx=showpatent_cn&amp;sf=ShowPatent&amp;spn=US9440352&amp;sx=showpatent_cn&amp;sv=51c7f810c65c03d1d7f34a84ca08faed","US9440352")</f>
        <v>US9440352</v>
      </c>
      <c r="B174" s="9" t="s">
        <v>908</v>
      </c>
      <c r="C174" s="9" t="s">
        <v>909</v>
      </c>
      <c r="D174" s="9" t="s">
        <v>863</v>
      </c>
      <c r="E174" s="9" t="s">
        <v>49</v>
      </c>
      <c r="F174" s="9" t="s">
        <v>910</v>
      </c>
      <c r="G174" s="9" t="s">
        <v>911</v>
      </c>
      <c r="H174" s="9" t="s">
        <v>912</v>
      </c>
      <c r="I174" s="9" t="s">
        <v>913</v>
      </c>
      <c r="J174" s="9" t="s">
        <v>914</v>
      </c>
      <c r="K174" s="9" t="s">
        <v>915</v>
      </c>
      <c r="L174" s="9" t="s">
        <v>916</v>
      </c>
      <c r="M174" s="9">
        <v>7</v>
      </c>
      <c r="N174" s="9">
        <v>14</v>
      </c>
      <c r="O174" s="9" t="s">
        <v>57</v>
      </c>
      <c r="P174" s="9" t="s">
        <v>58</v>
      </c>
      <c r="Q174" s="9">
        <v>62</v>
      </c>
      <c r="R174" s="9">
        <v>1</v>
      </c>
      <c r="S174" s="9">
        <v>61</v>
      </c>
      <c r="T174" s="9">
        <v>32</v>
      </c>
      <c r="U174" s="9">
        <v>0</v>
      </c>
      <c r="V174" s="9" t="s">
        <v>114</v>
      </c>
      <c r="W174" s="9">
        <v>0</v>
      </c>
      <c r="X174" s="9">
        <v>0</v>
      </c>
      <c r="Y174" s="9">
        <v>0</v>
      </c>
      <c r="Z174" s="9">
        <v>0</v>
      </c>
      <c r="AA174" s="9">
        <v>5</v>
      </c>
      <c r="AB174" s="9">
        <v>1</v>
      </c>
      <c r="AC174" s="9">
        <v>14</v>
      </c>
      <c r="AD174" s="9" t="s">
        <v>0</v>
      </c>
      <c r="AE174" s="9" t="s">
        <v>60</v>
      </c>
    </row>
    <row r="175" spans="1:31" ht="51" x14ac:dyDescent="0.2">
      <c r="A175" s="8" t="str">
        <f>HYPERLINK("http://www.patentics.cn/invokexml.do?sx=showpatent_cn&amp;sf=ShowPatent&amp;spn=US9460387&amp;sx=showpatent_cn&amp;sv=014431228761e703c5a010f803de01ea","US9460387")</f>
        <v>US9460387</v>
      </c>
      <c r="B175" s="9" t="s">
        <v>917</v>
      </c>
      <c r="C175" s="9" t="s">
        <v>918</v>
      </c>
      <c r="D175" s="9" t="s">
        <v>863</v>
      </c>
      <c r="E175" s="9" t="s">
        <v>49</v>
      </c>
      <c r="F175" s="9" t="s">
        <v>919</v>
      </c>
      <c r="G175" s="9" t="s">
        <v>894</v>
      </c>
      <c r="H175" s="9" t="s">
        <v>920</v>
      </c>
      <c r="I175" s="9" t="s">
        <v>920</v>
      </c>
      <c r="J175" s="9" t="s">
        <v>283</v>
      </c>
      <c r="K175" s="9" t="s">
        <v>869</v>
      </c>
      <c r="L175" s="9" t="s">
        <v>870</v>
      </c>
      <c r="M175" s="9">
        <v>29</v>
      </c>
      <c r="N175" s="9">
        <v>14</v>
      </c>
      <c r="O175" s="9" t="s">
        <v>57</v>
      </c>
      <c r="P175" s="9" t="s">
        <v>58</v>
      </c>
      <c r="Q175" s="9">
        <v>76</v>
      </c>
      <c r="R175" s="9">
        <v>1</v>
      </c>
      <c r="S175" s="9">
        <v>75</v>
      </c>
      <c r="T175" s="9">
        <v>28</v>
      </c>
      <c r="U175" s="9">
        <v>0</v>
      </c>
      <c r="V175" s="9" t="s">
        <v>114</v>
      </c>
      <c r="W175" s="9">
        <v>0</v>
      </c>
      <c r="X175" s="9">
        <v>0</v>
      </c>
      <c r="Y175" s="9">
        <v>0</v>
      </c>
      <c r="Z175" s="9">
        <v>0</v>
      </c>
      <c r="AA175" s="9">
        <v>5</v>
      </c>
      <c r="AB175" s="9">
        <v>5</v>
      </c>
      <c r="AC175" s="9">
        <v>14</v>
      </c>
      <c r="AD175" s="9" t="s">
        <v>0</v>
      </c>
      <c r="AE175" s="9" t="s">
        <v>60</v>
      </c>
    </row>
    <row r="176" spans="1:31" ht="38.25" x14ac:dyDescent="0.2">
      <c r="A176" s="6" t="str">
        <f>HYPERLINK("http://www.patentics.cn/invokexml.do?sx=showpatent_cn&amp;sf=ShowPatent&amp;spn=CN101201459&amp;sx=showpatent_cn&amp;sv=f1335f8268d72fa12ab11a0a9c1ba7e5","CN101201459")</f>
        <v>CN101201459</v>
      </c>
      <c r="B176" s="7" t="s">
        <v>921</v>
      </c>
      <c r="C176" s="7" t="s">
        <v>922</v>
      </c>
      <c r="D176" s="7" t="s">
        <v>923</v>
      </c>
      <c r="E176" s="7" t="s">
        <v>923</v>
      </c>
      <c r="F176" s="7" t="s">
        <v>924</v>
      </c>
      <c r="G176" s="7" t="s">
        <v>925</v>
      </c>
      <c r="H176" s="7" t="s">
        <v>926</v>
      </c>
      <c r="I176" s="7" t="s">
        <v>926</v>
      </c>
      <c r="J176" s="7" t="s">
        <v>927</v>
      </c>
      <c r="K176" s="7" t="s">
        <v>622</v>
      </c>
      <c r="L176" s="7" t="s">
        <v>928</v>
      </c>
      <c r="M176" s="7">
        <v>5</v>
      </c>
      <c r="N176" s="7">
        <v>9</v>
      </c>
      <c r="O176" s="7" t="s">
        <v>42</v>
      </c>
      <c r="P176" s="7" t="s">
        <v>43</v>
      </c>
      <c r="Q176" s="7">
        <v>0</v>
      </c>
      <c r="R176" s="7">
        <v>0</v>
      </c>
      <c r="S176" s="7">
        <v>0</v>
      </c>
      <c r="T176" s="7">
        <v>0</v>
      </c>
      <c r="U176" s="7">
        <v>19</v>
      </c>
      <c r="V176" s="7" t="s">
        <v>929</v>
      </c>
      <c r="W176" s="7">
        <v>0</v>
      </c>
      <c r="X176" s="7">
        <v>19</v>
      </c>
      <c r="Y176" s="7">
        <v>5</v>
      </c>
      <c r="Z176" s="7">
        <v>2</v>
      </c>
      <c r="AA176" s="7">
        <v>1</v>
      </c>
      <c r="AB176" s="7">
        <v>1</v>
      </c>
      <c r="AC176" s="7" t="s">
        <v>0</v>
      </c>
      <c r="AD176" s="7">
        <v>10</v>
      </c>
      <c r="AE176" s="7" t="s">
        <v>532</v>
      </c>
    </row>
    <row r="177" spans="1:31" ht="63.75" x14ac:dyDescent="0.2">
      <c r="A177" s="8" t="str">
        <f>HYPERLINK("http://www.patentics.cn/invokexml.do?sx=showpatent_cn&amp;sf=ShowPatent&amp;spn=US9294672&amp;sx=showpatent_cn&amp;sv=971df8939f3db62be9f510435c070a8b","US9294672")</f>
        <v>US9294672</v>
      </c>
      <c r="B177" s="9" t="s">
        <v>792</v>
      </c>
      <c r="C177" s="9" t="s">
        <v>793</v>
      </c>
      <c r="D177" s="9" t="s">
        <v>48</v>
      </c>
      <c r="E177" s="9" t="s">
        <v>49</v>
      </c>
      <c r="F177" s="9" t="s">
        <v>794</v>
      </c>
      <c r="G177" s="9" t="s">
        <v>795</v>
      </c>
      <c r="H177" s="9" t="s">
        <v>796</v>
      </c>
      <c r="I177" s="9" t="s">
        <v>797</v>
      </c>
      <c r="J177" s="9" t="s">
        <v>798</v>
      </c>
      <c r="K177" s="9" t="s">
        <v>714</v>
      </c>
      <c r="L177" s="9" t="s">
        <v>799</v>
      </c>
      <c r="M177" s="9">
        <v>26</v>
      </c>
      <c r="N177" s="9">
        <v>12</v>
      </c>
      <c r="O177" s="9" t="s">
        <v>57</v>
      </c>
      <c r="P177" s="9" t="s">
        <v>58</v>
      </c>
      <c r="Q177" s="9">
        <v>192</v>
      </c>
      <c r="R177" s="9">
        <v>5</v>
      </c>
      <c r="S177" s="9">
        <v>187</v>
      </c>
      <c r="T177" s="9">
        <v>98</v>
      </c>
      <c r="U177" s="9">
        <v>0</v>
      </c>
      <c r="V177" s="9" t="s">
        <v>114</v>
      </c>
      <c r="W177" s="9">
        <v>0</v>
      </c>
      <c r="X177" s="9">
        <v>0</v>
      </c>
      <c r="Y177" s="9">
        <v>0</v>
      </c>
      <c r="Z177" s="9">
        <v>0</v>
      </c>
      <c r="AA177" s="9">
        <v>24</v>
      </c>
      <c r="AB177" s="9">
        <v>6</v>
      </c>
      <c r="AC177" s="9">
        <v>14</v>
      </c>
      <c r="AD177" s="9" t="s">
        <v>0</v>
      </c>
      <c r="AE177" s="9" t="s">
        <v>60</v>
      </c>
    </row>
    <row r="178" spans="1:31" ht="38.25" x14ac:dyDescent="0.2">
      <c r="A178" s="8" t="str">
        <f>HYPERLINK("http://www.patentics.cn/invokexml.do?sx=showpatent_cn&amp;sf=ShowPatent&amp;spn=US9374516&amp;sx=showpatent_cn&amp;sv=67348798b8c2cfd0a26f81fc8cbdeecc","US9374516")</f>
        <v>US9374516</v>
      </c>
      <c r="B178" s="9" t="s">
        <v>800</v>
      </c>
      <c r="C178" s="9" t="s">
        <v>801</v>
      </c>
      <c r="D178" s="9" t="s">
        <v>48</v>
      </c>
      <c r="E178" s="9" t="s">
        <v>49</v>
      </c>
      <c r="F178" s="9" t="s">
        <v>802</v>
      </c>
      <c r="G178" s="9" t="s">
        <v>802</v>
      </c>
      <c r="H178" s="9" t="s">
        <v>803</v>
      </c>
      <c r="I178" s="9" t="s">
        <v>804</v>
      </c>
      <c r="J178" s="9" t="s">
        <v>805</v>
      </c>
      <c r="K178" s="9" t="s">
        <v>714</v>
      </c>
      <c r="L178" s="9" t="s">
        <v>806</v>
      </c>
      <c r="M178" s="9">
        <v>24</v>
      </c>
      <c r="N178" s="9">
        <v>26</v>
      </c>
      <c r="O178" s="9" t="s">
        <v>57</v>
      </c>
      <c r="P178" s="9" t="s">
        <v>58</v>
      </c>
      <c r="Q178" s="9">
        <v>236</v>
      </c>
      <c r="R178" s="9">
        <v>13</v>
      </c>
      <c r="S178" s="9">
        <v>223</v>
      </c>
      <c r="T178" s="9">
        <v>112</v>
      </c>
      <c r="U178" s="9">
        <v>0</v>
      </c>
      <c r="V178" s="9" t="s">
        <v>114</v>
      </c>
      <c r="W178" s="9">
        <v>0</v>
      </c>
      <c r="X178" s="9">
        <v>0</v>
      </c>
      <c r="Y178" s="9">
        <v>0</v>
      </c>
      <c r="Z178" s="9">
        <v>0</v>
      </c>
      <c r="AA178" s="9">
        <v>13</v>
      </c>
      <c r="AB178" s="9">
        <v>5</v>
      </c>
      <c r="AC178" s="9">
        <v>14</v>
      </c>
      <c r="AD178" s="9" t="s">
        <v>0</v>
      </c>
      <c r="AE178" s="9" t="s">
        <v>60</v>
      </c>
    </row>
    <row r="179" spans="1:31" ht="38.25" x14ac:dyDescent="0.2">
      <c r="A179" s="8" t="str">
        <f>HYPERLINK("http://www.patentics.cn/invokexml.do?sx=showpatent_cn&amp;sf=ShowPatent&amp;spn=US9383550&amp;sx=showpatent_cn&amp;sv=5d9a6326e7a72c92b592b6649389dac0","US9383550")</f>
        <v>US9383550</v>
      </c>
      <c r="B179" s="9" t="s">
        <v>807</v>
      </c>
      <c r="C179" s="9" t="s">
        <v>801</v>
      </c>
      <c r="D179" s="9" t="s">
        <v>48</v>
      </c>
      <c r="E179" s="9" t="s">
        <v>49</v>
      </c>
      <c r="F179" s="9" t="s">
        <v>802</v>
      </c>
      <c r="G179" s="9" t="s">
        <v>802</v>
      </c>
      <c r="H179" s="9" t="s">
        <v>803</v>
      </c>
      <c r="I179" s="9" t="s">
        <v>808</v>
      </c>
      <c r="J179" s="9" t="s">
        <v>809</v>
      </c>
      <c r="K179" s="9" t="s">
        <v>622</v>
      </c>
      <c r="L179" s="9" t="s">
        <v>810</v>
      </c>
      <c r="M179" s="9">
        <v>30</v>
      </c>
      <c r="N179" s="9">
        <v>23</v>
      </c>
      <c r="O179" s="9" t="s">
        <v>57</v>
      </c>
      <c r="P179" s="9" t="s">
        <v>58</v>
      </c>
      <c r="Q179" s="9">
        <v>236</v>
      </c>
      <c r="R179" s="9">
        <v>13</v>
      </c>
      <c r="S179" s="9">
        <v>223</v>
      </c>
      <c r="T179" s="9">
        <v>112</v>
      </c>
      <c r="U179" s="9">
        <v>0</v>
      </c>
      <c r="V179" s="9" t="s">
        <v>114</v>
      </c>
      <c r="W179" s="9">
        <v>0</v>
      </c>
      <c r="X179" s="9">
        <v>0</v>
      </c>
      <c r="Y179" s="9">
        <v>0</v>
      </c>
      <c r="Z179" s="9">
        <v>0</v>
      </c>
      <c r="AA179" s="9">
        <v>13</v>
      </c>
      <c r="AB179" s="9">
        <v>5</v>
      </c>
      <c r="AC179" s="9">
        <v>14</v>
      </c>
      <c r="AD179" s="9" t="s">
        <v>0</v>
      </c>
      <c r="AE179" s="9" t="s">
        <v>60</v>
      </c>
    </row>
    <row r="180" spans="1:31" ht="102" x14ac:dyDescent="0.2">
      <c r="A180" s="8" t="str">
        <f>HYPERLINK("http://www.patentics.cn/invokexml.do?sx=showpatent_cn&amp;sf=ShowPatent&amp;spn=US9386222&amp;sx=showpatent_cn&amp;sv=5f57209585cd4a71a0cf2bb3d24c110b","US9386222")</f>
        <v>US9386222</v>
      </c>
      <c r="B180" s="9" t="s">
        <v>811</v>
      </c>
      <c r="C180" s="9" t="s">
        <v>812</v>
      </c>
      <c r="D180" s="9" t="s">
        <v>48</v>
      </c>
      <c r="E180" s="9" t="s">
        <v>49</v>
      </c>
      <c r="F180" s="9" t="s">
        <v>813</v>
      </c>
      <c r="G180" s="9" t="s">
        <v>795</v>
      </c>
      <c r="H180" s="9" t="s">
        <v>796</v>
      </c>
      <c r="I180" s="9" t="s">
        <v>814</v>
      </c>
      <c r="J180" s="9" t="s">
        <v>809</v>
      </c>
      <c r="K180" s="9" t="s">
        <v>714</v>
      </c>
      <c r="L180" s="9" t="s">
        <v>806</v>
      </c>
      <c r="M180" s="9">
        <v>30</v>
      </c>
      <c r="N180" s="9">
        <v>21</v>
      </c>
      <c r="O180" s="9" t="s">
        <v>57</v>
      </c>
      <c r="P180" s="9" t="s">
        <v>58</v>
      </c>
      <c r="Q180" s="9">
        <v>236</v>
      </c>
      <c r="R180" s="9">
        <v>13</v>
      </c>
      <c r="S180" s="9">
        <v>223</v>
      </c>
      <c r="T180" s="9">
        <v>112</v>
      </c>
      <c r="U180" s="9">
        <v>0</v>
      </c>
      <c r="V180" s="9" t="s">
        <v>114</v>
      </c>
      <c r="W180" s="9">
        <v>0</v>
      </c>
      <c r="X180" s="9">
        <v>0</v>
      </c>
      <c r="Y180" s="9">
        <v>0</v>
      </c>
      <c r="Z180" s="9">
        <v>0</v>
      </c>
      <c r="AA180" s="9">
        <v>8</v>
      </c>
      <c r="AB180" s="9">
        <v>6</v>
      </c>
      <c r="AC180" s="9">
        <v>14</v>
      </c>
      <c r="AD180" s="9" t="s">
        <v>0</v>
      </c>
      <c r="AE180" s="9" t="s">
        <v>60</v>
      </c>
    </row>
    <row r="181" spans="1:31" ht="89.25" x14ac:dyDescent="0.2">
      <c r="A181" s="8" t="str">
        <f>HYPERLINK("http://www.patentics.cn/invokexml.do?sx=showpatent_cn&amp;sf=ShowPatent&amp;spn=US9398264&amp;sx=showpatent_cn&amp;sv=57851f8020f20fc110ff680533c90ebd","US9398264")</f>
        <v>US9398264</v>
      </c>
      <c r="B181" s="9" t="s">
        <v>815</v>
      </c>
      <c r="C181" s="9" t="s">
        <v>816</v>
      </c>
      <c r="D181" s="9" t="s">
        <v>48</v>
      </c>
      <c r="E181" s="9" t="s">
        <v>49</v>
      </c>
      <c r="F181" s="9" t="s">
        <v>817</v>
      </c>
      <c r="G181" s="9" t="s">
        <v>818</v>
      </c>
      <c r="H181" s="9" t="s">
        <v>819</v>
      </c>
      <c r="I181" s="9" t="s">
        <v>820</v>
      </c>
      <c r="J181" s="9" t="s">
        <v>821</v>
      </c>
      <c r="K181" s="9" t="s">
        <v>714</v>
      </c>
      <c r="L181" s="9" t="s">
        <v>806</v>
      </c>
      <c r="M181" s="9">
        <v>21</v>
      </c>
      <c r="N181" s="9">
        <v>17</v>
      </c>
      <c r="O181" s="9" t="s">
        <v>57</v>
      </c>
      <c r="P181" s="9" t="s">
        <v>58</v>
      </c>
      <c r="Q181" s="9">
        <v>240</v>
      </c>
      <c r="R181" s="9">
        <v>15</v>
      </c>
      <c r="S181" s="9">
        <v>225</v>
      </c>
      <c r="T181" s="9">
        <v>113</v>
      </c>
      <c r="U181" s="9">
        <v>0</v>
      </c>
      <c r="V181" s="9" t="s">
        <v>114</v>
      </c>
      <c r="W181" s="9">
        <v>0</v>
      </c>
      <c r="X181" s="9">
        <v>0</v>
      </c>
      <c r="Y181" s="9">
        <v>0</v>
      </c>
      <c r="Z181" s="9">
        <v>0</v>
      </c>
      <c r="AA181" s="9">
        <v>7</v>
      </c>
      <c r="AB181" s="9">
        <v>6</v>
      </c>
      <c r="AC181" s="9">
        <v>14</v>
      </c>
      <c r="AD181" s="9" t="s">
        <v>0</v>
      </c>
      <c r="AE181" s="9" t="s">
        <v>60</v>
      </c>
    </row>
    <row r="182" spans="1:31" ht="102" x14ac:dyDescent="0.2">
      <c r="A182" s="8" t="str">
        <f>HYPERLINK("http://www.patentics.cn/invokexml.do?sx=showpatent_cn&amp;sf=ShowPatent&amp;spn=US9438889&amp;sx=showpatent_cn&amp;sv=e0ba4494fb405ec8cb9511ee6ec68246","US9438889")</f>
        <v>US9438889</v>
      </c>
      <c r="B182" s="9" t="s">
        <v>822</v>
      </c>
      <c r="C182" s="9" t="s">
        <v>823</v>
      </c>
      <c r="D182" s="9" t="s">
        <v>48</v>
      </c>
      <c r="E182" s="9" t="s">
        <v>49</v>
      </c>
      <c r="F182" s="9" t="s">
        <v>824</v>
      </c>
      <c r="G182" s="9" t="s">
        <v>825</v>
      </c>
      <c r="H182" s="9" t="s">
        <v>0</v>
      </c>
      <c r="I182" s="9" t="s">
        <v>826</v>
      </c>
      <c r="J182" s="9" t="s">
        <v>827</v>
      </c>
      <c r="K182" s="9" t="s">
        <v>714</v>
      </c>
      <c r="L182" s="9" t="s">
        <v>828</v>
      </c>
      <c r="M182" s="9">
        <v>20</v>
      </c>
      <c r="N182" s="9">
        <v>16</v>
      </c>
      <c r="O182" s="9" t="s">
        <v>57</v>
      </c>
      <c r="P182" s="9" t="s">
        <v>58</v>
      </c>
      <c r="Q182" s="9">
        <v>251</v>
      </c>
      <c r="R182" s="9">
        <v>17</v>
      </c>
      <c r="S182" s="9">
        <v>234</v>
      </c>
      <c r="T182" s="9">
        <v>117</v>
      </c>
      <c r="U182" s="9">
        <v>0</v>
      </c>
      <c r="V182" s="9" t="s">
        <v>114</v>
      </c>
      <c r="W182" s="9">
        <v>0</v>
      </c>
      <c r="X182" s="9">
        <v>0</v>
      </c>
      <c r="Y182" s="9">
        <v>0</v>
      </c>
      <c r="Z182" s="9">
        <v>0</v>
      </c>
      <c r="AA182" s="9">
        <v>0</v>
      </c>
      <c r="AB182" s="9">
        <v>0</v>
      </c>
      <c r="AC182" s="9">
        <v>14</v>
      </c>
      <c r="AD182" s="9" t="s">
        <v>0</v>
      </c>
      <c r="AE182" s="9" t="s">
        <v>60</v>
      </c>
    </row>
    <row r="183" spans="1:31" ht="89.25" x14ac:dyDescent="0.2">
      <c r="A183" s="8" t="str">
        <f>HYPERLINK("http://www.patentics.cn/invokexml.do?sx=showpatent_cn&amp;sf=ShowPatent&amp;spn=US9485495&amp;sx=showpatent_cn&amp;sv=512c02ebe9e0c8e88c00179b2b77c611","US9485495")</f>
        <v>US9485495</v>
      </c>
      <c r="B183" s="9" t="s">
        <v>829</v>
      </c>
      <c r="C183" s="9" t="s">
        <v>830</v>
      </c>
      <c r="D183" s="9" t="s">
        <v>48</v>
      </c>
      <c r="E183" s="9" t="s">
        <v>49</v>
      </c>
      <c r="F183" s="9" t="s">
        <v>831</v>
      </c>
      <c r="G183" s="9" t="s">
        <v>832</v>
      </c>
      <c r="H183" s="9" t="s">
        <v>833</v>
      </c>
      <c r="I183" s="9" t="s">
        <v>834</v>
      </c>
      <c r="J183" s="9" t="s">
        <v>835</v>
      </c>
      <c r="K183" s="9" t="s">
        <v>714</v>
      </c>
      <c r="L183" s="9" t="s">
        <v>828</v>
      </c>
      <c r="M183" s="9">
        <v>38</v>
      </c>
      <c r="N183" s="9">
        <v>11</v>
      </c>
      <c r="O183" s="9" t="s">
        <v>57</v>
      </c>
      <c r="P183" s="9" t="s">
        <v>58</v>
      </c>
      <c r="Q183" s="9">
        <v>252</v>
      </c>
      <c r="R183" s="9">
        <v>16</v>
      </c>
      <c r="S183" s="9">
        <v>236</v>
      </c>
      <c r="T183" s="9">
        <v>118</v>
      </c>
      <c r="U183" s="9">
        <v>0</v>
      </c>
      <c r="V183" s="9" t="s">
        <v>114</v>
      </c>
      <c r="W183" s="9">
        <v>0</v>
      </c>
      <c r="X183" s="9">
        <v>0</v>
      </c>
      <c r="Y183" s="9">
        <v>0</v>
      </c>
      <c r="Z183" s="9">
        <v>0</v>
      </c>
      <c r="AA183" s="9">
        <v>8</v>
      </c>
      <c r="AB183" s="9">
        <v>6</v>
      </c>
      <c r="AC183" s="9">
        <v>14</v>
      </c>
      <c r="AD183" s="9" t="s">
        <v>0</v>
      </c>
      <c r="AE183" s="9" t="s">
        <v>60</v>
      </c>
    </row>
    <row r="184" spans="1:31" ht="38.25" x14ac:dyDescent="0.2">
      <c r="A184" s="8" t="str">
        <f>HYPERLINK("http://www.patentics.cn/invokexml.do?sx=showpatent_cn&amp;sf=ShowPatent&amp;spn=US9541740&amp;sx=showpatent_cn&amp;sv=578088dc6182bc427b96da9c32183340","US9541740")</f>
        <v>US9541740</v>
      </c>
      <c r="B184" s="9" t="s">
        <v>836</v>
      </c>
      <c r="C184" s="9" t="s">
        <v>837</v>
      </c>
      <c r="D184" s="9" t="s">
        <v>48</v>
      </c>
      <c r="E184" s="9" t="s">
        <v>49</v>
      </c>
      <c r="F184" s="9" t="s">
        <v>795</v>
      </c>
      <c r="G184" s="9" t="s">
        <v>795</v>
      </c>
      <c r="H184" s="9" t="s">
        <v>796</v>
      </c>
      <c r="I184" s="9" t="s">
        <v>838</v>
      </c>
      <c r="J184" s="9" t="s">
        <v>521</v>
      </c>
      <c r="K184" s="9" t="s">
        <v>714</v>
      </c>
      <c r="L184" s="9" t="s">
        <v>806</v>
      </c>
      <c r="M184" s="9">
        <v>30</v>
      </c>
      <c r="N184" s="9">
        <v>21</v>
      </c>
      <c r="O184" s="9" t="s">
        <v>57</v>
      </c>
      <c r="P184" s="9" t="s">
        <v>58</v>
      </c>
      <c r="Q184" s="9">
        <v>254</v>
      </c>
      <c r="R184" s="9">
        <v>18</v>
      </c>
      <c r="S184" s="9">
        <v>236</v>
      </c>
      <c r="T184" s="9">
        <v>118</v>
      </c>
      <c r="U184" s="9">
        <v>0</v>
      </c>
      <c r="V184" s="9" t="s">
        <v>114</v>
      </c>
      <c r="W184" s="9">
        <v>0</v>
      </c>
      <c r="X184" s="9">
        <v>0</v>
      </c>
      <c r="Y184" s="9">
        <v>0</v>
      </c>
      <c r="Z184" s="9">
        <v>0</v>
      </c>
      <c r="AA184" s="9">
        <v>7</v>
      </c>
      <c r="AB184" s="9">
        <v>6</v>
      </c>
      <c r="AC184" s="9">
        <v>14</v>
      </c>
      <c r="AD184" s="9" t="s">
        <v>0</v>
      </c>
      <c r="AE184" s="9" t="s">
        <v>60</v>
      </c>
    </row>
    <row r="185" spans="1:31" ht="38.25" x14ac:dyDescent="0.2">
      <c r="A185" s="8" t="str">
        <f>HYPERLINK("http://www.patentics.cn/invokexml.do?sx=showpatent_cn&amp;sf=ShowPatent&amp;spn=US9549107&amp;sx=showpatent_cn&amp;sv=c3f9344d5bfc7c0538fdd5ea092b0a16","US9549107")</f>
        <v>US9549107</v>
      </c>
      <c r="B185" s="9" t="s">
        <v>839</v>
      </c>
      <c r="C185" s="9" t="s">
        <v>840</v>
      </c>
      <c r="D185" s="9" t="s">
        <v>48</v>
      </c>
      <c r="E185" s="9" t="s">
        <v>49</v>
      </c>
      <c r="F185" s="9" t="s">
        <v>795</v>
      </c>
      <c r="G185" s="9" t="s">
        <v>795</v>
      </c>
      <c r="H185" s="9" t="s">
        <v>796</v>
      </c>
      <c r="I185" s="9" t="s">
        <v>838</v>
      </c>
      <c r="J185" s="9" t="s">
        <v>841</v>
      </c>
      <c r="K185" s="9" t="s">
        <v>714</v>
      </c>
      <c r="L185" s="9" t="s">
        <v>806</v>
      </c>
      <c r="M185" s="9">
        <v>26</v>
      </c>
      <c r="N185" s="9">
        <v>18</v>
      </c>
      <c r="O185" s="9" t="s">
        <v>57</v>
      </c>
      <c r="P185" s="9" t="s">
        <v>58</v>
      </c>
      <c r="Q185" s="9">
        <v>239</v>
      </c>
      <c r="R185" s="9">
        <v>14</v>
      </c>
      <c r="S185" s="9">
        <v>225</v>
      </c>
      <c r="T185" s="9">
        <v>113</v>
      </c>
      <c r="U185" s="9">
        <v>0</v>
      </c>
      <c r="V185" s="9" t="s">
        <v>114</v>
      </c>
      <c r="W185" s="9">
        <v>0</v>
      </c>
      <c r="X185" s="9">
        <v>0</v>
      </c>
      <c r="Y185" s="9">
        <v>0</v>
      </c>
      <c r="Z185" s="9">
        <v>0</v>
      </c>
      <c r="AA185" s="9">
        <v>6</v>
      </c>
      <c r="AB185" s="9">
        <v>6</v>
      </c>
      <c r="AC185" s="9">
        <v>14</v>
      </c>
      <c r="AD185" s="9" t="s">
        <v>0</v>
      </c>
      <c r="AE185" s="9" t="s">
        <v>60</v>
      </c>
    </row>
    <row r="186" spans="1:31" ht="102" x14ac:dyDescent="0.2">
      <c r="A186" s="8" t="str">
        <f>HYPERLINK("http://www.patentics.cn/invokexml.do?sx=showpatent_cn&amp;sf=ShowPatent&amp;spn=US9733458&amp;sx=showpatent_cn&amp;sv=b447e5f90493bf008ebf52763f41d9bb","US9733458")</f>
        <v>US9733458</v>
      </c>
      <c r="B186" s="9" t="s">
        <v>842</v>
      </c>
      <c r="C186" s="9" t="s">
        <v>812</v>
      </c>
      <c r="D186" s="9" t="s">
        <v>48</v>
      </c>
      <c r="E186" s="9" t="s">
        <v>49</v>
      </c>
      <c r="F186" s="9" t="s">
        <v>813</v>
      </c>
      <c r="G186" s="9" t="s">
        <v>795</v>
      </c>
      <c r="H186" s="9" t="s">
        <v>796</v>
      </c>
      <c r="I186" s="9" t="s">
        <v>843</v>
      </c>
      <c r="J186" s="9" t="s">
        <v>844</v>
      </c>
      <c r="K186" s="9" t="s">
        <v>714</v>
      </c>
      <c r="L186" s="9" t="s">
        <v>806</v>
      </c>
      <c r="M186" s="9">
        <v>20</v>
      </c>
      <c r="N186" s="9">
        <v>23</v>
      </c>
      <c r="O186" s="9" t="s">
        <v>57</v>
      </c>
      <c r="P186" s="9" t="s">
        <v>58</v>
      </c>
      <c r="Q186" s="9">
        <v>305</v>
      </c>
      <c r="R186" s="9">
        <v>23</v>
      </c>
      <c r="S186" s="9">
        <v>282</v>
      </c>
      <c r="T186" s="9">
        <v>136</v>
      </c>
      <c r="U186" s="9">
        <v>0</v>
      </c>
      <c r="V186" s="9" t="s">
        <v>114</v>
      </c>
      <c r="W186" s="9">
        <v>0</v>
      </c>
      <c r="X186" s="9">
        <v>0</v>
      </c>
      <c r="Y186" s="9">
        <v>0</v>
      </c>
      <c r="Z186" s="9">
        <v>0</v>
      </c>
      <c r="AA186" s="9">
        <v>8</v>
      </c>
      <c r="AB186" s="9">
        <v>6</v>
      </c>
      <c r="AC186" s="9">
        <v>14</v>
      </c>
      <c r="AD186" s="9" t="s">
        <v>0</v>
      </c>
      <c r="AE186" s="9" t="s">
        <v>60</v>
      </c>
    </row>
    <row r="187" spans="1:31" ht="25.5" x14ac:dyDescent="0.2">
      <c r="A187" s="6" t="str">
        <f>HYPERLINK("http://www.patentics.cn/invokexml.do?sx=showpatent_cn&amp;sf=ShowPatent&amp;spn=CN101576384&amp;sx=showpatent_cn&amp;sv=f26a079edd158cfbe96e8ac63d5a6cf4","CN101576384")</f>
        <v>CN101576384</v>
      </c>
      <c r="B187" s="7" t="s">
        <v>930</v>
      </c>
      <c r="C187" s="7" t="s">
        <v>931</v>
      </c>
      <c r="D187" s="7" t="s">
        <v>932</v>
      </c>
      <c r="E187" s="7" t="s">
        <v>932</v>
      </c>
      <c r="F187" s="7" t="s">
        <v>933</v>
      </c>
      <c r="G187" s="7" t="s">
        <v>934</v>
      </c>
      <c r="H187" s="7" t="s">
        <v>935</v>
      </c>
      <c r="I187" s="7" t="s">
        <v>935</v>
      </c>
      <c r="J187" s="7" t="s">
        <v>936</v>
      </c>
      <c r="K187" s="7" t="s">
        <v>937</v>
      </c>
      <c r="L187" s="7" t="s">
        <v>938</v>
      </c>
      <c r="M187" s="7">
        <v>3</v>
      </c>
      <c r="N187" s="7">
        <v>61</v>
      </c>
      <c r="O187" s="7" t="s">
        <v>42</v>
      </c>
      <c r="P187" s="7" t="s">
        <v>43</v>
      </c>
      <c r="Q187" s="7">
        <v>0</v>
      </c>
      <c r="R187" s="7">
        <v>0</v>
      </c>
      <c r="S187" s="7">
        <v>0</v>
      </c>
      <c r="T187" s="7">
        <v>0</v>
      </c>
      <c r="U187" s="7">
        <v>35</v>
      </c>
      <c r="V187" s="7" t="s">
        <v>939</v>
      </c>
      <c r="W187" s="7">
        <v>0</v>
      </c>
      <c r="X187" s="7">
        <v>35</v>
      </c>
      <c r="Y187" s="7">
        <v>13</v>
      </c>
      <c r="Z187" s="7">
        <v>3</v>
      </c>
      <c r="AA187" s="7">
        <v>1</v>
      </c>
      <c r="AB187" s="7">
        <v>1</v>
      </c>
      <c r="AC187" s="7" t="s">
        <v>0</v>
      </c>
      <c r="AD187" s="7">
        <v>9</v>
      </c>
      <c r="AE187" s="7" t="s">
        <v>532</v>
      </c>
    </row>
    <row r="188" spans="1:31" ht="89.25" x14ac:dyDescent="0.2">
      <c r="A188" s="8" t="str">
        <f>HYPERLINK("http://www.patentics.cn/invokexml.do?sx=showpatent_cn&amp;sf=ShowPatent&amp;spn=US8812015&amp;sx=showpatent_cn&amp;sv=fb3b504261f9efcda8dba5a18fef6f8e","US8812015")</f>
        <v>US8812015</v>
      </c>
      <c r="B188" s="9" t="s">
        <v>940</v>
      </c>
      <c r="C188" s="9" t="s">
        <v>941</v>
      </c>
      <c r="D188" s="9" t="s">
        <v>48</v>
      </c>
      <c r="E188" s="9" t="s">
        <v>49</v>
      </c>
      <c r="F188" s="9" t="s">
        <v>942</v>
      </c>
      <c r="G188" s="9" t="s">
        <v>943</v>
      </c>
      <c r="H188" s="9" t="s">
        <v>944</v>
      </c>
      <c r="I188" s="9" t="s">
        <v>945</v>
      </c>
      <c r="J188" s="9" t="s">
        <v>946</v>
      </c>
      <c r="K188" s="9" t="s">
        <v>55</v>
      </c>
      <c r="L188" s="9" t="s">
        <v>947</v>
      </c>
      <c r="M188" s="9">
        <v>90</v>
      </c>
      <c r="N188" s="9">
        <v>16</v>
      </c>
      <c r="O188" s="9" t="s">
        <v>57</v>
      </c>
      <c r="P188" s="9" t="s">
        <v>58</v>
      </c>
      <c r="Q188" s="9">
        <v>93</v>
      </c>
      <c r="R188" s="9">
        <v>18</v>
      </c>
      <c r="S188" s="9">
        <v>75</v>
      </c>
      <c r="T188" s="9">
        <v>43</v>
      </c>
      <c r="U188" s="9">
        <v>6</v>
      </c>
      <c r="V188" s="9" t="s">
        <v>948</v>
      </c>
      <c r="W188" s="9">
        <v>2</v>
      </c>
      <c r="X188" s="9">
        <v>4</v>
      </c>
      <c r="Y188" s="9">
        <v>5</v>
      </c>
      <c r="Z188" s="9">
        <v>1</v>
      </c>
      <c r="AA188" s="9">
        <v>38</v>
      </c>
      <c r="AB188" s="9">
        <v>6</v>
      </c>
      <c r="AC188" s="9">
        <v>14</v>
      </c>
      <c r="AD188" s="9" t="s">
        <v>0</v>
      </c>
      <c r="AE188" s="9" t="s">
        <v>60</v>
      </c>
    </row>
    <row r="189" spans="1:31" ht="51" x14ac:dyDescent="0.2">
      <c r="A189" s="8" t="str">
        <f>HYPERLINK("http://www.patentics.cn/invokexml.do?sx=showpatent_cn&amp;sf=ShowPatent&amp;spn=US8880103&amp;sx=showpatent_cn&amp;sv=903a64f9878f3eb09ad801e3b5b99b2f","US8880103")</f>
        <v>US8880103</v>
      </c>
      <c r="B189" s="9" t="s">
        <v>949</v>
      </c>
      <c r="C189" s="9" t="s">
        <v>950</v>
      </c>
      <c r="D189" s="9" t="s">
        <v>48</v>
      </c>
      <c r="E189" s="9" t="s">
        <v>49</v>
      </c>
      <c r="F189" s="9" t="s">
        <v>951</v>
      </c>
      <c r="G189" s="9" t="s">
        <v>952</v>
      </c>
      <c r="H189" s="9" t="s">
        <v>953</v>
      </c>
      <c r="I189" s="9" t="s">
        <v>954</v>
      </c>
      <c r="J189" s="9" t="s">
        <v>159</v>
      </c>
      <c r="K189" s="9" t="s">
        <v>55</v>
      </c>
      <c r="L189" s="9" t="s">
        <v>947</v>
      </c>
      <c r="M189" s="9">
        <v>72</v>
      </c>
      <c r="N189" s="9">
        <v>11</v>
      </c>
      <c r="O189" s="9" t="s">
        <v>57</v>
      </c>
      <c r="P189" s="9" t="s">
        <v>58</v>
      </c>
      <c r="Q189" s="9">
        <v>101</v>
      </c>
      <c r="R189" s="9">
        <v>18</v>
      </c>
      <c r="S189" s="9">
        <v>83</v>
      </c>
      <c r="T189" s="9">
        <v>48</v>
      </c>
      <c r="U189" s="9">
        <v>3</v>
      </c>
      <c r="V189" s="9" t="s">
        <v>955</v>
      </c>
      <c r="W189" s="9">
        <v>3</v>
      </c>
      <c r="X189" s="9">
        <v>0</v>
      </c>
      <c r="Y189" s="9">
        <v>1</v>
      </c>
      <c r="Z189" s="9">
        <v>1</v>
      </c>
      <c r="AA189" s="9">
        <v>30</v>
      </c>
      <c r="AB189" s="9">
        <v>13</v>
      </c>
      <c r="AC189" s="9">
        <v>14</v>
      </c>
      <c r="AD189" s="9" t="s">
        <v>0</v>
      </c>
      <c r="AE189" s="9" t="s">
        <v>60</v>
      </c>
    </row>
    <row r="190" spans="1:31" ht="63.75" x14ac:dyDescent="0.2">
      <c r="A190" s="8" t="str">
        <f>HYPERLINK("http://www.patentics.cn/invokexml.do?sx=showpatent_cn&amp;sf=ShowPatent&amp;spn=US8897814&amp;sx=showpatent_cn&amp;sv=a704b918eae7fcbd58cf617e63d7e08c","US8897814")</f>
        <v>US8897814</v>
      </c>
      <c r="B190" s="9" t="s">
        <v>956</v>
      </c>
      <c r="C190" s="9" t="s">
        <v>950</v>
      </c>
      <c r="D190" s="9" t="s">
        <v>48</v>
      </c>
      <c r="E190" s="9" t="s">
        <v>49</v>
      </c>
      <c r="F190" s="9" t="s">
        <v>957</v>
      </c>
      <c r="G190" s="9" t="s">
        <v>952</v>
      </c>
      <c r="H190" s="9" t="s">
        <v>953</v>
      </c>
      <c r="I190" s="9" t="s">
        <v>958</v>
      </c>
      <c r="J190" s="9" t="s">
        <v>959</v>
      </c>
      <c r="K190" s="9" t="s">
        <v>55</v>
      </c>
      <c r="L190" s="9" t="s">
        <v>947</v>
      </c>
      <c r="M190" s="9">
        <v>36</v>
      </c>
      <c r="N190" s="9">
        <v>13</v>
      </c>
      <c r="O190" s="9" t="s">
        <v>57</v>
      </c>
      <c r="P190" s="9" t="s">
        <v>58</v>
      </c>
      <c r="Q190" s="9">
        <v>100</v>
      </c>
      <c r="R190" s="9">
        <v>19</v>
      </c>
      <c r="S190" s="9">
        <v>81</v>
      </c>
      <c r="T190" s="9">
        <v>46</v>
      </c>
      <c r="U190" s="9">
        <v>2</v>
      </c>
      <c r="V190" s="9" t="s">
        <v>114</v>
      </c>
      <c r="W190" s="9">
        <v>2</v>
      </c>
      <c r="X190" s="9">
        <v>0</v>
      </c>
      <c r="Y190" s="9">
        <v>1</v>
      </c>
      <c r="Z190" s="9">
        <v>1</v>
      </c>
      <c r="AA190" s="9">
        <v>30</v>
      </c>
      <c r="AB190" s="9">
        <v>13</v>
      </c>
      <c r="AC190" s="9">
        <v>14</v>
      </c>
      <c r="AD190" s="9" t="s">
        <v>0</v>
      </c>
      <c r="AE190" s="9" t="s">
        <v>60</v>
      </c>
    </row>
    <row r="191" spans="1:31" ht="89.25" x14ac:dyDescent="0.2">
      <c r="A191" s="8" t="str">
        <f>HYPERLINK("http://www.patentics.cn/invokexml.do?sx=showpatent_cn&amp;sf=ShowPatent&amp;spn=US9014721&amp;sx=showpatent_cn&amp;sv=61d9ac933ba42a730c66d9c0494b36d4","US9014721")</f>
        <v>US9014721</v>
      </c>
      <c r="B191" s="9" t="s">
        <v>960</v>
      </c>
      <c r="C191" s="9" t="s">
        <v>941</v>
      </c>
      <c r="D191" s="9" t="s">
        <v>48</v>
      </c>
      <c r="E191" s="9" t="s">
        <v>49</v>
      </c>
      <c r="F191" s="9" t="s">
        <v>942</v>
      </c>
      <c r="G191" s="9" t="s">
        <v>943</v>
      </c>
      <c r="H191" s="9" t="s">
        <v>944</v>
      </c>
      <c r="I191" s="9" t="s">
        <v>961</v>
      </c>
      <c r="J191" s="9" t="s">
        <v>962</v>
      </c>
      <c r="K191" s="9" t="s">
        <v>55</v>
      </c>
      <c r="L191" s="9" t="s">
        <v>947</v>
      </c>
      <c r="M191" s="9">
        <v>36</v>
      </c>
      <c r="N191" s="9">
        <v>12</v>
      </c>
      <c r="O191" s="9" t="s">
        <v>57</v>
      </c>
      <c r="P191" s="9" t="s">
        <v>58</v>
      </c>
      <c r="Q191" s="9">
        <v>109</v>
      </c>
      <c r="R191" s="9">
        <v>18</v>
      </c>
      <c r="S191" s="9">
        <v>91</v>
      </c>
      <c r="T191" s="9">
        <v>52</v>
      </c>
      <c r="U191" s="9">
        <v>2</v>
      </c>
      <c r="V191" s="9" t="s">
        <v>131</v>
      </c>
      <c r="W191" s="9">
        <v>1</v>
      </c>
      <c r="X191" s="9">
        <v>1</v>
      </c>
      <c r="Y191" s="9">
        <v>2</v>
      </c>
      <c r="Z191" s="9">
        <v>1</v>
      </c>
      <c r="AA191" s="9">
        <v>38</v>
      </c>
      <c r="AB191" s="9">
        <v>6</v>
      </c>
      <c r="AC191" s="9">
        <v>14</v>
      </c>
      <c r="AD191" s="9" t="s">
        <v>0</v>
      </c>
      <c r="AE191" s="9" t="s">
        <v>60</v>
      </c>
    </row>
    <row r="192" spans="1:31" ht="89.25" x14ac:dyDescent="0.2">
      <c r="A192" s="8" t="str">
        <f>HYPERLINK("http://www.patentics.cn/invokexml.do?sx=showpatent_cn&amp;sf=ShowPatent&amp;spn=US9116003&amp;sx=showpatent_cn&amp;sv=bed28eff208a9c1b4d92d0c566db5c20","US9116003")</f>
        <v>US9116003</v>
      </c>
      <c r="B192" s="9" t="s">
        <v>963</v>
      </c>
      <c r="C192" s="9" t="s">
        <v>964</v>
      </c>
      <c r="D192" s="9" t="s">
        <v>48</v>
      </c>
      <c r="E192" s="9" t="s">
        <v>49</v>
      </c>
      <c r="F192" s="9" t="s">
        <v>965</v>
      </c>
      <c r="G192" s="9" t="s">
        <v>966</v>
      </c>
      <c r="H192" s="9" t="s">
        <v>944</v>
      </c>
      <c r="I192" s="9" t="s">
        <v>967</v>
      </c>
      <c r="J192" s="9" t="s">
        <v>445</v>
      </c>
      <c r="K192" s="9" t="s">
        <v>937</v>
      </c>
      <c r="L192" s="9" t="s">
        <v>968</v>
      </c>
      <c r="M192" s="9">
        <v>25</v>
      </c>
      <c r="N192" s="9">
        <v>21</v>
      </c>
      <c r="O192" s="9" t="s">
        <v>57</v>
      </c>
      <c r="P192" s="9" t="s">
        <v>58</v>
      </c>
      <c r="Q192" s="9">
        <v>132</v>
      </c>
      <c r="R192" s="9">
        <v>19</v>
      </c>
      <c r="S192" s="9">
        <v>113</v>
      </c>
      <c r="T192" s="9">
        <v>66</v>
      </c>
      <c r="U192" s="9">
        <v>1</v>
      </c>
      <c r="V192" s="9" t="s">
        <v>131</v>
      </c>
      <c r="W192" s="9">
        <v>0</v>
      </c>
      <c r="X192" s="9">
        <v>1</v>
      </c>
      <c r="Y192" s="9">
        <v>1</v>
      </c>
      <c r="Z192" s="9">
        <v>1</v>
      </c>
      <c r="AA192" s="9">
        <v>38</v>
      </c>
      <c r="AB192" s="9">
        <v>6</v>
      </c>
      <c r="AC192" s="9">
        <v>14</v>
      </c>
      <c r="AD192" s="9" t="s">
        <v>0</v>
      </c>
      <c r="AE192" s="9" t="s">
        <v>60</v>
      </c>
    </row>
    <row r="193" spans="1:31" ht="89.25" x14ac:dyDescent="0.2">
      <c r="A193" s="8" t="str">
        <f>HYPERLINK("http://www.patentics.cn/invokexml.do?sx=showpatent_cn&amp;sf=ShowPatent&amp;spn=US9140559&amp;sx=showpatent_cn&amp;sv=630f4911c2d0e30a3eb29e4ba7ed0eed","US9140559")</f>
        <v>US9140559</v>
      </c>
      <c r="B193" s="9" t="s">
        <v>969</v>
      </c>
      <c r="C193" s="9" t="s">
        <v>970</v>
      </c>
      <c r="D193" s="9" t="s">
        <v>48</v>
      </c>
      <c r="E193" s="9" t="s">
        <v>49</v>
      </c>
      <c r="F193" s="9" t="s">
        <v>965</v>
      </c>
      <c r="G193" s="9" t="s">
        <v>966</v>
      </c>
      <c r="H193" s="9" t="s">
        <v>944</v>
      </c>
      <c r="I193" s="9" t="s">
        <v>967</v>
      </c>
      <c r="J193" s="9" t="s">
        <v>202</v>
      </c>
      <c r="K193" s="9" t="s">
        <v>937</v>
      </c>
      <c r="L193" s="9" t="s">
        <v>938</v>
      </c>
      <c r="M193" s="9">
        <v>69</v>
      </c>
      <c r="N193" s="9">
        <v>13</v>
      </c>
      <c r="O193" s="9" t="s">
        <v>57</v>
      </c>
      <c r="P193" s="9" t="s">
        <v>58</v>
      </c>
      <c r="Q193" s="9">
        <v>130</v>
      </c>
      <c r="R193" s="9">
        <v>19</v>
      </c>
      <c r="S193" s="9">
        <v>111</v>
      </c>
      <c r="T193" s="9">
        <v>64</v>
      </c>
      <c r="U193" s="9">
        <v>1</v>
      </c>
      <c r="V193" s="9" t="s">
        <v>114</v>
      </c>
      <c r="W193" s="9">
        <v>1</v>
      </c>
      <c r="X193" s="9">
        <v>0</v>
      </c>
      <c r="Y193" s="9">
        <v>1</v>
      </c>
      <c r="Z193" s="9">
        <v>1</v>
      </c>
      <c r="AA193" s="9">
        <v>38</v>
      </c>
      <c r="AB193" s="9">
        <v>6</v>
      </c>
      <c r="AC193" s="9">
        <v>14</v>
      </c>
      <c r="AD193" s="9" t="s">
        <v>0</v>
      </c>
      <c r="AE193" s="9" t="s">
        <v>60</v>
      </c>
    </row>
    <row r="194" spans="1:31" ht="63.75" x14ac:dyDescent="0.2">
      <c r="A194" s="8" t="str">
        <f>HYPERLINK("http://www.patentics.cn/invokexml.do?sx=showpatent_cn&amp;sf=ShowPatent&amp;spn=US9143899&amp;sx=showpatent_cn&amp;sv=edbbab9c312b62a5625e8b39221425d0","US9143899")</f>
        <v>US9143899</v>
      </c>
      <c r="B194" s="9" t="s">
        <v>971</v>
      </c>
      <c r="C194" s="9" t="s">
        <v>950</v>
      </c>
      <c r="D194" s="9" t="s">
        <v>48</v>
      </c>
      <c r="E194" s="9" t="s">
        <v>49</v>
      </c>
      <c r="F194" s="9" t="s">
        <v>957</v>
      </c>
      <c r="G194" s="9" t="s">
        <v>952</v>
      </c>
      <c r="H194" s="9" t="s">
        <v>953</v>
      </c>
      <c r="I194" s="9" t="s">
        <v>972</v>
      </c>
      <c r="J194" s="9" t="s">
        <v>202</v>
      </c>
      <c r="K194" s="9" t="s">
        <v>55</v>
      </c>
      <c r="L194" s="9" t="s">
        <v>947</v>
      </c>
      <c r="M194" s="9">
        <v>28</v>
      </c>
      <c r="N194" s="9">
        <v>13</v>
      </c>
      <c r="O194" s="9" t="s">
        <v>57</v>
      </c>
      <c r="P194" s="9" t="s">
        <v>58</v>
      </c>
      <c r="Q194" s="9">
        <v>134</v>
      </c>
      <c r="R194" s="9">
        <v>22</v>
      </c>
      <c r="S194" s="9">
        <v>112</v>
      </c>
      <c r="T194" s="9">
        <v>66</v>
      </c>
      <c r="U194" s="9">
        <v>0</v>
      </c>
      <c r="V194" s="9" t="s">
        <v>114</v>
      </c>
      <c r="W194" s="9">
        <v>0</v>
      </c>
      <c r="X194" s="9">
        <v>0</v>
      </c>
      <c r="Y194" s="9">
        <v>0</v>
      </c>
      <c r="Z194" s="9">
        <v>0</v>
      </c>
      <c r="AA194" s="9">
        <v>30</v>
      </c>
      <c r="AB194" s="9">
        <v>13</v>
      </c>
      <c r="AC194" s="9">
        <v>14</v>
      </c>
      <c r="AD194" s="9" t="s">
        <v>0</v>
      </c>
      <c r="AE194" s="9" t="s">
        <v>60</v>
      </c>
    </row>
    <row r="195" spans="1:31" ht="89.25" x14ac:dyDescent="0.2">
      <c r="A195" s="8" t="str">
        <f>HYPERLINK("http://www.patentics.cn/invokexml.do?sx=showpatent_cn&amp;sf=ShowPatent&amp;spn=US9313615&amp;sx=showpatent_cn&amp;sv=7aad41944d5f1d816ff63529b5d3cbdc","US9313615")</f>
        <v>US9313615</v>
      </c>
      <c r="B195" s="9" t="s">
        <v>973</v>
      </c>
      <c r="C195" s="9" t="s">
        <v>941</v>
      </c>
      <c r="D195" s="9" t="s">
        <v>48</v>
      </c>
      <c r="E195" s="9" t="s">
        <v>49</v>
      </c>
      <c r="F195" s="9" t="s">
        <v>942</v>
      </c>
      <c r="G195" s="9" t="s">
        <v>943</v>
      </c>
      <c r="H195" s="9" t="s">
        <v>944</v>
      </c>
      <c r="I195" s="9" t="s">
        <v>974</v>
      </c>
      <c r="J195" s="9" t="s">
        <v>600</v>
      </c>
      <c r="K195" s="9" t="s">
        <v>55</v>
      </c>
      <c r="L195" s="9" t="s">
        <v>975</v>
      </c>
      <c r="M195" s="9">
        <v>25</v>
      </c>
      <c r="N195" s="9">
        <v>10</v>
      </c>
      <c r="O195" s="9" t="s">
        <v>57</v>
      </c>
      <c r="P195" s="9" t="s">
        <v>58</v>
      </c>
      <c r="Q195" s="9">
        <v>148</v>
      </c>
      <c r="R195" s="9">
        <v>26</v>
      </c>
      <c r="S195" s="9">
        <v>122</v>
      </c>
      <c r="T195" s="9">
        <v>70</v>
      </c>
      <c r="U195" s="9">
        <v>0</v>
      </c>
      <c r="V195" s="9" t="s">
        <v>114</v>
      </c>
      <c r="W195" s="9">
        <v>0</v>
      </c>
      <c r="X195" s="9">
        <v>0</v>
      </c>
      <c r="Y195" s="9">
        <v>0</v>
      </c>
      <c r="Z195" s="9">
        <v>0</v>
      </c>
      <c r="AA195" s="9">
        <v>38</v>
      </c>
      <c r="AB195" s="9">
        <v>6</v>
      </c>
      <c r="AC195" s="9">
        <v>14</v>
      </c>
      <c r="AD195" s="9" t="s">
        <v>0</v>
      </c>
      <c r="AE195" s="9" t="s">
        <v>60</v>
      </c>
    </row>
    <row r="196" spans="1:31" ht="89.25" x14ac:dyDescent="0.2">
      <c r="A196" s="8" t="str">
        <f>HYPERLINK("http://www.patentics.cn/invokexml.do?sx=showpatent_cn&amp;sf=ShowPatent&amp;spn=US9389085&amp;sx=showpatent_cn&amp;sv=0b4d673646cc6408892e00a668601e66","US9389085")</f>
        <v>US9389085</v>
      </c>
      <c r="B196" s="9" t="s">
        <v>976</v>
      </c>
      <c r="C196" s="9" t="s">
        <v>977</v>
      </c>
      <c r="D196" s="9" t="s">
        <v>48</v>
      </c>
      <c r="E196" s="9" t="s">
        <v>49</v>
      </c>
      <c r="F196" s="9" t="s">
        <v>965</v>
      </c>
      <c r="G196" s="9" t="s">
        <v>966</v>
      </c>
      <c r="H196" s="9" t="s">
        <v>978</v>
      </c>
      <c r="I196" s="9" t="s">
        <v>979</v>
      </c>
      <c r="J196" s="9" t="s">
        <v>980</v>
      </c>
      <c r="K196" s="9" t="s">
        <v>937</v>
      </c>
      <c r="L196" s="9" t="s">
        <v>968</v>
      </c>
      <c r="M196" s="9">
        <v>60</v>
      </c>
      <c r="N196" s="9">
        <v>14</v>
      </c>
      <c r="O196" s="9" t="s">
        <v>57</v>
      </c>
      <c r="P196" s="9" t="s">
        <v>58</v>
      </c>
      <c r="Q196" s="9">
        <v>142</v>
      </c>
      <c r="R196" s="9">
        <v>21</v>
      </c>
      <c r="S196" s="9">
        <v>121</v>
      </c>
      <c r="T196" s="9">
        <v>69</v>
      </c>
      <c r="U196" s="9">
        <v>0</v>
      </c>
      <c r="V196" s="9" t="s">
        <v>114</v>
      </c>
      <c r="W196" s="9">
        <v>0</v>
      </c>
      <c r="X196" s="9">
        <v>0</v>
      </c>
      <c r="Y196" s="9">
        <v>0</v>
      </c>
      <c r="Z196" s="9">
        <v>0</v>
      </c>
      <c r="AA196" s="9">
        <v>11</v>
      </c>
      <c r="AB196" s="9">
        <v>7</v>
      </c>
      <c r="AC196" s="9">
        <v>14</v>
      </c>
      <c r="AD196" s="9" t="s">
        <v>0</v>
      </c>
      <c r="AE196" s="9" t="s">
        <v>60</v>
      </c>
    </row>
    <row r="197" spans="1:31" ht="25.5" x14ac:dyDescent="0.2">
      <c r="A197" s="6" t="str">
        <f>HYPERLINK("http://www.patentics.cn/invokexml.do?sx=showpatent_cn&amp;sf=ShowPatent&amp;spn=CN101228678&amp;sx=showpatent_cn&amp;sv=5739816db385b9a8c81c1d62d951fd43","CN101228678")</f>
        <v>CN101228678</v>
      </c>
      <c r="B197" s="7" t="s">
        <v>981</v>
      </c>
      <c r="C197" s="7" t="s">
        <v>982</v>
      </c>
      <c r="D197" s="7" t="s">
        <v>983</v>
      </c>
      <c r="E197" s="7" t="s">
        <v>983</v>
      </c>
      <c r="F197" s="7" t="s">
        <v>984</v>
      </c>
      <c r="G197" s="7" t="s">
        <v>984</v>
      </c>
      <c r="H197" s="7" t="s">
        <v>985</v>
      </c>
      <c r="I197" s="7" t="s">
        <v>986</v>
      </c>
      <c r="J197" s="7" t="s">
        <v>987</v>
      </c>
      <c r="K197" s="7" t="s">
        <v>580</v>
      </c>
      <c r="L197" s="7" t="s">
        <v>581</v>
      </c>
      <c r="M197" s="7">
        <v>36</v>
      </c>
      <c r="N197" s="7">
        <v>18</v>
      </c>
      <c r="O197" s="7" t="s">
        <v>42</v>
      </c>
      <c r="P197" s="7" t="s">
        <v>58</v>
      </c>
      <c r="Q197" s="7">
        <v>3</v>
      </c>
      <c r="R197" s="7">
        <v>2</v>
      </c>
      <c r="S197" s="7">
        <v>1</v>
      </c>
      <c r="T197" s="7">
        <v>2</v>
      </c>
      <c r="U197" s="7">
        <v>17</v>
      </c>
      <c r="V197" s="7" t="s">
        <v>988</v>
      </c>
      <c r="W197" s="7">
        <v>0</v>
      </c>
      <c r="X197" s="7">
        <v>17</v>
      </c>
      <c r="Y197" s="7">
        <v>5</v>
      </c>
      <c r="Z197" s="7">
        <v>2</v>
      </c>
      <c r="AA197" s="7">
        <v>7</v>
      </c>
      <c r="AB197" s="7">
        <v>4</v>
      </c>
      <c r="AC197" s="7" t="s">
        <v>0</v>
      </c>
      <c r="AD197" s="7">
        <v>9</v>
      </c>
      <c r="AE197" s="7" t="s">
        <v>60</v>
      </c>
    </row>
    <row r="198" spans="1:31" ht="63.75" x14ac:dyDescent="0.2">
      <c r="A198" s="8" t="str">
        <f>HYPERLINK("http://www.patentics.cn/invokexml.do?sx=showpatent_cn&amp;sf=ShowPatent&amp;spn=US8581542&amp;sx=showpatent_cn&amp;sv=e4a73ee12377143d7a858a3b4794ab49","US8581542")</f>
        <v>US8581542</v>
      </c>
      <c r="B198" s="9" t="s">
        <v>989</v>
      </c>
      <c r="C198" s="9" t="s">
        <v>990</v>
      </c>
      <c r="D198" s="9" t="s">
        <v>48</v>
      </c>
      <c r="E198" s="9" t="s">
        <v>49</v>
      </c>
      <c r="F198" s="9" t="s">
        <v>991</v>
      </c>
      <c r="G198" s="9" t="s">
        <v>992</v>
      </c>
      <c r="H198" s="9" t="s">
        <v>993</v>
      </c>
      <c r="I198" s="9" t="s">
        <v>994</v>
      </c>
      <c r="J198" s="9" t="s">
        <v>95</v>
      </c>
      <c r="K198" s="9" t="s">
        <v>580</v>
      </c>
      <c r="L198" s="9" t="s">
        <v>581</v>
      </c>
      <c r="M198" s="9">
        <v>27</v>
      </c>
      <c r="N198" s="9">
        <v>6</v>
      </c>
      <c r="O198" s="9" t="s">
        <v>57</v>
      </c>
      <c r="P198" s="9" t="s">
        <v>58</v>
      </c>
      <c r="Q198" s="9">
        <v>21</v>
      </c>
      <c r="R198" s="9">
        <v>0</v>
      </c>
      <c r="S198" s="9">
        <v>21</v>
      </c>
      <c r="T198" s="9">
        <v>13</v>
      </c>
      <c r="U198" s="9">
        <v>0</v>
      </c>
      <c r="V198" s="9" t="s">
        <v>114</v>
      </c>
      <c r="W198" s="9">
        <v>0</v>
      </c>
      <c r="X198" s="9">
        <v>0</v>
      </c>
      <c r="Y198" s="9">
        <v>0</v>
      </c>
      <c r="Z198" s="9">
        <v>0</v>
      </c>
      <c r="AA198" s="9">
        <v>9</v>
      </c>
      <c r="AB198" s="9">
        <v>6</v>
      </c>
      <c r="AC198" s="9">
        <v>14</v>
      </c>
      <c r="AD198" s="9" t="s">
        <v>0</v>
      </c>
      <c r="AE198" s="9" t="s">
        <v>60</v>
      </c>
    </row>
    <row r="199" spans="1:31" ht="140.25" x14ac:dyDescent="0.2">
      <c r="A199" s="8" t="str">
        <f>HYPERLINK("http://www.patentics.cn/invokexml.do?sx=showpatent_cn&amp;sf=ShowPatent&amp;spn=US8712324&amp;sx=showpatent_cn&amp;sv=f59b7944469d82d271a2f3a45f40eb1f","US8712324")</f>
        <v>US8712324</v>
      </c>
      <c r="B199" s="9" t="s">
        <v>995</v>
      </c>
      <c r="C199" s="9" t="s">
        <v>996</v>
      </c>
      <c r="D199" s="9" t="s">
        <v>48</v>
      </c>
      <c r="E199" s="9" t="s">
        <v>49</v>
      </c>
      <c r="F199" s="9" t="s">
        <v>997</v>
      </c>
      <c r="G199" s="9" t="s">
        <v>998</v>
      </c>
      <c r="H199" s="9" t="s">
        <v>999</v>
      </c>
      <c r="I199" s="9" t="s">
        <v>1000</v>
      </c>
      <c r="J199" s="9" t="s">
        <v>1001</v>
      </c>
      <c r="K199" s="9" t="s">
        <v>89</v>
      </c>
      <c r="L199" s="9" t="s">
        <v>548</v>
      </c>
      <c r="M199" s="9">
        <v>35</v>
      </c>
      <c r="N199" s="9">
        <v>13</v>
      </c>
      <c r="O199" s="9" t="s">
        <v>57</v>
      </c>
      <c r="P199" s="9" t="s">
        <v>58</v>
      </c>
      <c r="Q199" s="9">
        <v>187</v>
      </c>
      <c r="R199" s="9">
        <v>1</v>
      </c>
      <c r="S199" s="9">
        <v>186</v>
      </c>
      <c r="T199" s="9">
        <v>77</v>
      </c>
      <c r="U199" s="9">
        <v>32</v>
      </c>
      <c r="V199" s="9" t="s">
        <v>1002</v>
      </c>
      <c r="W199" s="9">
        <v>8</v>
      </c>
      <c r="X199" s="9">
        <v>24</v>
      </c>
      <c r="Y199" s="9">
        <v>7</v>
      </c>
      <c r="Z199" s="9">
        <v>1</v>
      </c>
      <c r="AA199" s="9">
        <v>4</v>
      </c>
      <c r="AB199" s="9">
        <v>4</v>
      </c>
      <c r="AC199" s="9">
        <v>14</v>
      </c>
      <c r="AD199" s="9" t="s">
        <v>0</v>
      </c>
      <c r="AE199" s="9" t="s">
        <v>60</v>
      </c>
    </row>
    <row r="200" spans="1:31" ht="204" x14ac:dyDescent="0.2">
      <c r="A200" s="8" t="str">
        <f>HYPERLINK("http://www.patentics.cn/invokexml.do?sx=showpatent_cn&amp;sf=ShowPatent&amp;spn=US8810194&amp;sx=showpatent_cn&amp;sv=1773d859f4e351afd83a55500f85525f","US8810194")</f>
        <v>US8810194</v>
      </c>
      <c r="B200" s="9" t="s">
        <v>1003</v>
      </c>
      <c r="C200" s="9" t="s">
        <v>1004</v>
      </c>
      <c r="D200" s="9" t="s">
        <v>117</v>
      </c>
      <c r="E200" s="9" t="s">
        <v>49</v>
      </c>
      <c r="F200" s="9" t="s">
        <v>1005</v>
      </c>
      <c r="G200" s="9" t="s">
        <v>585</v>
      </c>
      <c r="H200" s="9" t="s">
        <v>1006</v>
      </c>
      <c r="I200" s="9" t="s">
        <v>1007</v>
      </c>
      <c r="J200" s="9" t="s">
        <v>946</v>
      </c>
      <c r="K200" s="9" t="s">
        <v>580</v>
      </c>
      <c r="L200" s="9" t="s">
        <v>581</v>
      </c>
      <c r="M200" s="9">
        <v>26</v>
      </c>
      <c r="N200" s="9">
        <v>16</v>
      </c>
      <c r="O200" s="9" t="s">
        <v>57</v>
      </c>
      <c r="P200" s="9" t="s">
        <v>58</v>
      </c>
      <c r="Q200" s="9">
        <v>20</v>
      </c>
      <c r="R200" s="9">
        <v>1</v>
      </c>
      <c r="S200" s="9">
        <v>19</v>
      </c>
      <c r="T200" s="9">
        <v>15</v>
      </c>
      <c r="U200" s="9">
        <v>3</v>
      </c>
      <c r="V200" s="9" t="s">
        <v>384</v>
      </c>
      <c r="W200" s="9">
        <v>0</v>
      </c>
      <c r="X200" s="9">
        <v>3</v>
      </c>
      <c r="Y200" s="9">
        <v>2</v>
      </c>
      <c r="Z200" s="9">
        <v>1</v>
      </c>
      <c r="AA200" s="9">
        <v>5</v>
      </c>
      <c r="AB200" s="9">
        <v>3</v>
      </c>
      <c r="AC200" s="9">
        <v>14</v>
      </c>
      <c r="AD200" s="9" t="s">
        <v>0</v>
      </c>
      <c r="AE200" s="9" t="s">
        <v>60</v>
      </c>
    </row>
    <row r="201" spans="1:31" ht="140.25" x14ac:dyDescent="0.2">
      <c r="A201" s="8" t="str">
        <f>HYPERLINK("http://www.patentics.cn/invokexml.do?sx=showpatent_cn&amp;sf=ShowPatent&amp;spn=US8850045&amp;sx=showpatent_cn&amp;sv=8b445b38f152c86871a3e3fa9eb6279e","US8850045")</f>
        <v>US8850045</v>
      </c>
      <c r="B201" s="9" t="s">
        <v>1008</v>
      </c>
      <c r="C201" s="9" t="s">
        <v>1009</v>
      </c>
      <c r="D201" s="9" t="s">
        <v>48</v>
      </c>
      <c r="E201" s="9" t="s">
        <v>49</v>
      </c>
      <c r="F201" s="9" t="s">
        <v>1010</v>
      </c>
      <c r="G201" s="9" t="s">
        <v>1011</v>
      </c>
      <c r="H201" s="9" t="s">
        <v>1012</v>
      </c>
      <c r="I201" s="9" t="s">
        <v>451</v>
      </c>
      <c r="J201" s="9" t="s">
        <v>1013</v>
      </c>
      <c r="K201" s="9" t="s">
        <v>885</v>
      </c>
      <c r="L201" s="9" t="s">
        <v>1014</v>
      </c>
      <c r="M201" s="9">
        <v>23</v>
      </c>
      <c r="N201" s="9">
        <v>22</v>
      </c>
      <c r="O201" s="9" t="s">
        <v>57</v>
      </c>
      <c r="P201" s="9" t="s">
        <v>58</v>
      </c>
      <c r="Q201" s="9">
        <v>252</v>
      </c>
      <c r="R201" s="9">
        <v>2</v>
      </c>
      <c r="S201" s="9">
        <v>250</v>
      </c>
      <c r="T201" s="9">
        <v>101</v>
      </c>
      <c r="U201" s="9">
        <v>10</v>
      </c>
      <c r="V201" s="9" t="s">
        <v>1015</v>
      </c>
      <c r="W201" s="9">
        <v>1</v>
      </c>
      <c r="X201" s="9">
        <v>9</v>
      </c>
      <c r="Y201" s="9">
        <v>5</v>
      </c>
      <c r="Z201" s="9">
        <v>1</v>
      </c>
      <c r="AA201" s="9">
        <v>14</v>
      </c>
      <c r="AB201" s="9">
        <v>5</v>
      </c>
      <c r="AC201" s="9">
        <v>14</v>
      </c>
      <c r="AD201" s="9" t="s">
        <v>0</v>
      </c>
      <c r="AE201" s="9" t="s">
        <v>60</v>
      </c>
    </row>
    <row r="202" spans="1:31" ht="51" x14ac:dyDescent="0.2">
      <c r="A202" s="8" t="str">
        <f>HYPERLINK("http://www.patentics.cn/invokexml.do?sx=showpatent_cn&amp;sf=ShowPatent&amp;spn=US8868939&amp;sx=showpatent_cn&amp;sv=6279ddd7968d9c871f77de23e853f36f","US8868939")</f>
        <v>US8868939</v>
      </c>
      <c r="B202" s="9" t="s">
        <v>1016</v>
      </c>
      <c r="C202" s="9" t="s">
        <v>1017</v>
      </c>
      <c r="D202" s="9" t="s">
        <v>48</v>
      </c>
      <c r="E202" s="9" t="s">
        <v>49</v>
      </c>
      <c r="F202" s="9" t="s">
        <v>1018</v>
      </c>
      <c r="G202" s="9" t="s">
        <v>1019</v>
      </c>
      <c r="H202" s="9" t="s">
        <v>1012</v>
      </c>
      <c r="I202" s="9" t="s">
        <v>1020</v>
      </c>
      <c r="J202" s="9" t="s">
        <v>1021</v>
      </c>
      <c r="K202" s="9" t="s">
        <v>885</v>
      </c>
      <c r="L202" s="9" t="s">
        <v>1022</v>
      </c>
      <c r="M202" s="9">
        <v>20</v>
      </c>
      <c r="N202" s="9">
        <v>19</v>
      </c>
      <c r="O202" s="9" t="s">
        <v>57</v>
      </c>
      <c r="P202" s="9" t="s">
        <v>58</v>
      </c>
      <c r="Q202" s="9">
        <v>255</v>
      </c>
      <c r="R202" s="9">
        <v>2</v>
      </c>
      <c r="S202" s="9">
        <v>253</v>
      </c>
      <c r="T202" s="9">
        <v>101</v>
      </c>
      <c r="U202" s="9">
        <v>5</v>
      </c>
      <c r="V202" s="9" t="s">
        <v>1023</v>
      </c>
      <c r="W202" s="9">
        <v>0</v>
      </c>
      <c r="X202" s="9">
        <v>5</v>
      </c>
      <c r="Y202" s="9">
        <v>5</v>
      </c>
      <c r="Z202" s="9">
        <v>1</v>
      </c>
      <c r="AA202" s="9">
        <v>14</v>
      </c>
      <c r="AB202" s="9">
        <v>5</v>
      </c>
      <c r="AC202" s="9">
        <v>14</v>
      </c>
      <c r="AD202" s="9" t="s">
        <v>0</v>
      </c>
      <c r="AE202" s="9" t="s">
        <v>60</v>
      </c>
    </row>
    <row r="203" spans="1:31" ht="191.25" x14ac:dyDescent="0.2">
      <c r="A203" s="8" t="str">
        <f>HYPERLINK("http://www.patentics.cn/invokexml.do?sx=showpatent_cn&amp;sf=ShowPatent&amp;spn=US9130394&amp;sx=showpatent_cn&amp;sv=f6bb94ef90e310e9c399d7a901aa7b84","US9130394")</f>
        <v>US9130394</v>
      </c>
      <c r="B203" s="9" t="s">
        <v>1024</v>
      </c>
      <c r="C203" s="9" t="s">
        <v>1025</v>
      </c>
      <c r="D203" s="9" t="s">
        <v>48</v>
      </c>
      <c r="E203" s="9" t="s">
        <v>49</v>
      </c>
      <c r="F203" s="9" t="s">
        <v>1026</v>
      </c>
      <c r="G203" s="9" t="s">
        <v>1027</v>
      </c>
      <c r="H203" s="9" t="s">
        <v>1028</v>
      </c>
      <c r="I203" s="9" t="s">
        <v>1029</v>
      </c>
      <c r="J203" s="9" t="s">
        <v>190</v>
      </c>
      <c r="K203" s="9" t="s">
        <v>580</v>
      </c>
      <c r="L203" s="9" t="s">
        <v>1030</v>
      </c>
      <c r="M203" s="9">
        <v>60</v>
      </c>
      <c r="N203" s="9">
        <v>12</v>
      </c>
      <c r="O203" s="9" t="s">
        <v>57</v>
      </c>
      <c r="P203" s="9" t="s">
        <v>58</v>
      </c>
      <c r="Q203" s="9">
        <v>50</v>
      </c>
      <c r="R203" s="9">
        <v>4</v>
      </c>
      <c r="S203" s="9">
        <v>46</v>
      </c>
      <c r="T203" s="9">
        <v>35</v>
      </c>
      <c r="U203" s="9">
        <v>0</v>
      </c>
      <c r="V203" s="9" t="s">
        <v>114</v>
      </c>
      <c r="W203" s="9">
        <v>0</v>
      </c>
      <c r="X203" s="9">
        <v>0</v>
      </c>
      <c r="Y203" s="9">
        <v>0</v>
      </c>
      <c r="Z203" s="9">
        <v>0</v>
      </c>
      <c r="AA203" s="9">
        <v>10</v>
      </c>
      <c r="AB203" s="9">
        <v>7</v>
      </c>
      <c r="AC203" s="9">
        <v>14</v>
      </c>
      <c r="AD203" s="9" t="s">
        <v>0</v>
      </c>
      <c r="AE203" s="9" t="s">
        <v>60</v>
      </c>
    </row>
    <row r="204" spans="1:31" ht="63.75" x14ac:dyDescent="0.2">
      <c r="A204" s="8" t="str">
        <f>HYPERLINK("http://www.patentics.cn/invokexml.do?sx=showpatent_cn&amp;sf=ShowPatent&amp;spn=CN102292868B&amp;sx=showpatent_cn&amp;sv=4ba5aee910855b4eec5b90307c50261f","CN102292868B")</f>
        <v>CN102292868B</v>
      </c>
      <c r="B204" s="9" t="s">
        <v>1031</v>
      </c>
      <c r="C204" s="9" t="s">
        <v>1032</v>
      </c>
      <c r="D204" s="9" t="s">
        <v>301</v>
      </c>
      <c r="E204" s="9" t="s">
        <v>301</v>
      </c>
      <c r="F204" s="9" t="s">
        <v>1033</v>
      </c>
      <c r="G204" s="9" t="s">
        <v>1034</v>
      </c>
      <c r="H204" s="9" t="s">
        <v>993</v>
      </c>
      <c r="I204" s="9" t="s">
        <v>1035</v>
      </c>
      <c r="J204" s="9" t="s">
        <v>1036</v>
      </c>
      <c r="K204" s="9" t="s">
        <v>1037</v>
      </c>
      <c r="L204" s="9" t="s">
        <v>1038</v>
      </c>
      <c r="M204" s="9">
        <v>25</v>
      </c>
      <c r="N204" s="9">
        <v>13</v>
      </c>
      <c r="O204" s="9" t="s">
        <v>57</v>
      </c>
      <c r="P204" s="9" t="s">
        <v>58</v>
      </c>
      <c r="Q204" s="9">
        <v>4</v>
      </c>
      <c r="R204" s="9">
        <v>0</v>
      </c>
      <c r="S204" s="9">
        <v>4</v>
      </c>
      <c r="T204" s="9">
        <v>3</v>
      </c>
      <c r="U204" s="9">
        <v>0</v>
      </c>
      <c r="V204" s="9" t="s">
        <v>114</v>
      </c>
      <c r="W204" s="9">
        <v>0</v>
      </c>
      <c r="X204" s="9">
        <v>0</v>
      </c>
      <c r="Y204" s="9">
        <v>0</v>
      </c>
      <c r="Z204" s="9">
        <v>0</v>
      </c>
      <c r="AA204" s="9">
        <v>9</v>
      </c>
      <c r="AB204" s="9">
        <v>6</v>
      </c>
      <c r="AC204" s="9">
        <v>14</v>
      </c>
      <c r="AD204" s="9" t="s">
        <v>0</v>
      </c>
      <c r="AE204" s="9" t="s">
        <v>60</v>
      </c>
    </row>
    <row r="205" spans="1:31" ht="153" x14ac:dyDescent="0.2">
      <c r="A205" s="8" t="str">
        <f>HYPERLINK("http://www.patentics.cn/invokexml.do?sx=showpatent_cn&amp;sf=ShowPatent&amp;spn=CN102308454B&amp;sx=showpatent_cn&amp;sv=aa89d7b0970da0f43b27286090103e4d","CN102308454B")</f>
        <v>CN102308454B</v>
      </c>
      <c r="B205" s="9" t="s">
        <v>1039</v>
      </c>
      <c r="C205" s="9" t="s">
        <v>1040</v>
      </c>
      <c r="D205" s="9" t="s">
        <v>301</v>
      </c>
      <c r="E205" s="9" t="s">
        <v>301</v>
      </c>
      <c r="F205" s="9" t="s">
        <v>1041</v>
      </c>
      <c r="G205" s="9" t="s">
        <v>1042</v>
      </c>
      <c r="H205" s="9" t="s">
        <v>1028</v>
      </c>
      <c r="I205" s="9" t="s">
        <v>1043</v>
      </c>
      <c r="J205" s="9" t="s">
        <v>1044</v>
      </c>
      <c r="K205" s="9" t="s">
        <v>580</v>
      </c>
      <c r="L205" s="9" t="s">
        <v>581</v>
      </c>
      <c r="M205" s="9">
        <v>59</v>
      </c>
      <c r="N205" s="9">
        <v>19</v>
      </c>
      <c r="O205" s="9" t="s">
        <v>57</v>
      </c>
      <c r="P205" s="9" t="s">
        <v>58</v>
      </c>
      <c r="Q205" s="9">
        <v>4</v>
      </c>
      <c r="R205" s="9">
        <v>0</v>
      </c>
      <c r="S205" s="9">
        <v>4</v>
      </c>
      <c r="T205" s="9">
        <v>4</v>
      </c>
      <c r="U205" s="9">
        <v>0</v>
      </c>
      <c r="V205" s="9" t="s">
        <v>114</v>
      </c>
      <c r="W205" s="9">
        <v>0</v>
      </c>
      <c r="X205" s="9">
        <v>0</v>
      </c>
      <c r="Y205" s="9">
        <v>0</v>
      </c>
      <c r="Z205" s="9">
        <v>0</v>
      </c>
      <c r="AA205" s="9">
        <v>10</v>
      </c>
      <c r="AB205" s="9">
        <v>7</v>
      </c>
      <c r="AC205" s="9">
        <v>14</v>
      </c>
      <c r="AD205" s="9" t="s">
        <v>0</v>
      </c>
      <c r="AE205" s="9" t="s">
        <v>60</v>
      </c>
    </row>
    <row r="206" spans="1:31" ht="38.25" x14ac:dyDescent="0.2">
      <c r="A206" s="8" t="str">
        <f>HYPERLINK("http://www.patentics.cn/invokexml.do?sx=showpatent_cn&amp;sf=ShowPatent&amp;spn=CN102640381B&amp;sx=showpatent_cn&amp;sv=5348c98ada072489e6dbda05f21439bd","CN102640381B")</f>
        <v>CN102640381B</v>
      </c>
      <c r="B206" s="9" t="s">
        <v>1045</v>
      </c>
      <c r="C206" s="9" t="s">
        <v>1046</v>
      </c>
      <c r="D206" s="9" t="s">
        <v>301</v>
      </c>
      <c r="E206" s="9" t="s">
        <v>301</v>
      </c>
      <c r="F206" s="9" t="s">
        <v>1047</v>
      </c>
      <c r="G206" s="9" t="s">
        <v>1048</v>
      </c>
      <c r="H206" s="9" t="s">
        <v>789</v>
      </c>
      <c r="I206" s="9" t="s">
        <v>1049</v>
      </c>
      <c r="J206" s="9" t="s">
        <v>1050</v>
      </c>
      <c r="K206" s="9" t="s">
        <v>580</v>
      </c>
      <c r="L206" s="9" t="s">
        <v>1051</v>
      </c>
      <c r="M206" s="9">
        <v>24</v>
      </c>
      <c r="N206" s="9">
        <v>14</v>
      </c>
      <c r="O206" s="9" t="s">
        <v>57</v>
      </c>
      <c r="P206" s="9" t="s">
        <v>58</v>
      </c>
      <c r="Q206" s="9">
        <v>3</v>
      </c>
      <c r="R206" s="9">
        <v>0</v>
      </c>
      <c r="S206" s="9">
        <v>3</v>
      </c>
      <c r="T206" s="9">
        <v>3</v>
      </c>
      <c r="U206" s="9">
        <v>0</v>
      </c>
      <c r="V206" s="9" t="s">
        <v>114</v>
      </c>
      <c r="W206" s="9">
        <v>0</v>
      </c>
      <c r="X206" s="9">
        <v>0</v>
      </c>
      <c r="Y206" s="9">
        <v>0</v>
      </c>
      <c r="Z206" s="9">
        <v>0</v>
      </c>
      <c r="AA206" s="9">
        <v>8</v>
      </c>
      <c r="AB206" s="9">
        <v>5</v>
      </c>
      <c r="AC206" s="9">
        <v>14</v>
      </c>
      <c r="AD206" s="9" t="s">
        <v>0</v>
      </c>
      <c r="AE206" s="9" t="s">
        <v>60</v>
      </c>
    </row>
    <row r="207" spans="1:31" ht="38.25" x14ac:dyDescent="0.2">
      <c r="A207" s="6" t="str">
        <f>HYPERLINK("http://www.patentics.cn/invokexml.do?sx=showpatent_cn&amp;sf=ShowPatent&amp;spn=CN101414268&amp;sx=showpatent_cn&amp;sv=6d98fc9240b68f41835d906c0df1b9f3","CN101414268")</f>
        <v>CN101414268</v>
      </c>
      <c r="B207" s="7" t="s">
        <v>1052</v>
      </c>
      <c r="C207" s="7" t="s">
        <v>1053</v>
      </c>
      <c r="D207" s="7" t="s">
        <v>1054</v>
      </c>
      <c r="E207" s="7" t="s">
        <v>1054</v>
      </c>
      <c r="F207" s="7" t="s">
        <v>1055</v>
      </c>
      <c r="G207" s="7" t="s">
        <v>1056</v>
      </c>
      <c r="H207" s="7" t="s">
        <v>0</v>
      </c>
      <c r="I207" s="7" t="s">
        <v>1057</v>
      </c>
      <c r="J207" s="7" t="s">
        <v>1058</v>
      </c>
      <c r="K207" s="7" t="s">
        <v>885</v>
      </c>
      <c r="L207" s="7" t="s">
        <v>1059</v>
      </c>
      <c r="M207" s="7">
        <v>2</v>
      </c>
      <c r="N207" s="7">
        <v>10</v>
      </c>
      <c r="O207" s="7" t="s">
        <v>42</v>
      </c>
      <c r="P207" s="7" t="s">
        <v>43</v>
      </c>
      <c r="Q207" s="7">
        <v>0</v>
      </c>
      <c r="R207" s="7">
        <v>0</v>
      </c>
      <c r="S207" s="7">
        <v>0</v>
      </c>
      <c r="T207" s="7">
        <v>0</v>
      </c>
      <c r="U207" s="7">
        <v>17</v>
      </c>
      <c r="V207" s="7" t="s">
        <v>1060</v>
      </c>
      <c r="W207" s="7">
        <v>0</v>
      </c>
      <c r="X207" s="7">
        <v>17</v>
      </c>
      <c r="Y207" s="7">
        <v>4</v>
      </c>
      <c r="Z207" s="7">
        <v>3</v>
      </c>
      <c r="AA207" s="7">
        <v>0</v>
      </c>
      <c r="AB207" s="7">
        <v>0</v>
      </c>
      <c r="AC207" s="7" t="s">
        <v>0</v>
      </c>
      <c r="AD207" s="7">
        <v>8</v>
      </c>
      <c r="AE207" s="7" t="s">
        <v>45</v>
      </c>
    </row>
    <row r="208" spans="1:31" ht="114.75" x14ac:dyDescent="0.2">
      <c r="A208" s="8" t="str">
        <f>HYPERLINK("http://www.patentics.cn/invokexml.do?sx=showpatent_cn&amp;sf=ShowPatent&amp;spn=US8909962&amp;sx=showpatent_cn&amp;sv=54df5bf81ccbfd2ebe7f2609c1fe4df1","US8909962")</f>
        <v>US8909962</v>
      </c>
      <c r="B208" s="9" t="s">
        <v>1061</v>
      </c>
      <c r="C208" s="9" t="s">
        <v>1062</v>
      </c>
      <c r="D208" s="9" t="s">
        <v>48</v>
      </c>
      <c r="E208" s="9" t="s">
        <v>49</v>
      </c>
      <c r="F208" s="9" t="s">
        <v>1063</v>
      </c>
      <c r="G208" s="9" t="s">
        <v>1064</v>
      </c>
      <c r="H208" s="9" t="s">
        <v>1065</v>
      </c>
      <c r="I208" s="9" t="s">
        <v>1066</v>
      </c>
      <c r="J208" s="9" t="s">
        <v>407</v>
      </c>
      <c r="K208" s="9" t="s">
        <v>885</v>
      </c>
      <c r="L208" s="9" t="s">
        <v>1022</v>
      </c>
      <c r="M208" s="9">
        <v>40</v>
      </c>
      <c r="N208" s="9">
        <v>21</v>
      </c>
      <c r="O208" s="9" t="s">
        <v>57</v>
      </c>
      <c r="P208" s="9" t="s">
        <v>58</v>
      </c>
      <c r="Q208" s="9">
        <v>124</v>
      </c>
      <c r="R208" s="9">
        <v>6</v>
      </c>
      <c r="S208" s="9">
        <v>118</v>
      </c>
      <c r="T208" s="9">
        <v>42</v>
      </c>
      <c r="U208" s="9">
        <v>0</v>
      </c>
      <c r="V208" s="9" t="s">
        <v>114</v>
      </c>
      <c r="W208" s="9">
        <v>0</v>
      </c>
      <c r="X208" s="9">
        <v>0</v>
      </c>
      <c r="Y208" s="9">
        <v>0</v>
      </c>
      <c r="Z208" s="9">
        <v>0</v>
      </c>
      <c r="AA208" s="9">
        <v>16</v>
      </c>
      <c r="AB208" s="9">
        <v>6</v>
      </c>
      <c r="AC208" s="9">
        <v>14</v>
      </c>
      <c r="AD208" s="9" t="s">
        <v>0</v>
      </c>
      <c r="AE208" s="9" t="s">
        <v>60</v>
      </c>
    </row>
    <row r="209" spans="1:31" ht="114.75" x14ac:dyDescent="0.2">
      <c r="A209" s="8" t="str">
        <f>HYPERLINK("http://www.patentics.cn/invokexml.do?sx=showpatent_cn&amp;sf=ShowPatent&amp;spn=US9081558&amp;sx=showpatent_cn&amp;sv=aa48e5728b3ca55af36895ac1521e90f","US9081558")</f>
        <v>US9081558</v>
      </c>
      <c r="B209" s="9" t="s">
        <v>1067</v>
      </c>
      <c r="C209" s="9" t="s">
        <v>1068</v>
      </c>
      <c r="D209" s="9" t="s">
        <v>48</v>
      </c>
      <c r="E209" s="9" t="s">
        <v>49</v>
      </c>
      <c r="F209" s="9" t="s">
        <v>1069</v>
      </c>
      <c r="G209" s="9" t="s">
        <v>1070</v>
      </c>
      <c r="H209" s="9" t="s">
        <v>1065</v>
      </c>
      <c r="I209" s="9" t="s">
        <v>1071</v>
      </c>
      <c r="J209" s="9" t="s">
        <v>1072</v>
      </c>
      <c r="K209" s="9" t="s">
        <v>885</v>
      </c>
      <c r="L209" s="9" t="s">
        <v>1073</v>
      </c>
      <c r="M209" s="9">
        <v>28</v>
      </c>
      <c r="N209" s="9">
        <v>12</v>
      </c>
      <c r="O209" s="9" t="s">
        <v>57</v>
      </c>
      <c r="P209" s="9" t="s">
        <v>58</v>
      </c>
      <c r="Q209" s="9">
        <v>130</v>
      </c>
      <c r="R209" s="9">
        <v>5</v>
      </c>
      <c r="S209" s="9">
        <v>125</v>
      </c>
      <c r="T209" s="9">
        <v>43</v>
      </c>
      <c r="U209" s="9">
        <v>0</v>
      </c>
      <c r="V209" s="9" t="s">
        <v>114</v>
      </c>
      <c r="W209" s="9">
        <v>0</v>
      </c>
      <c r="X209" s="9">
        <v>0</v>
      </c>
      <c r="Y209" s="9">
        <v>0</v>
      </c>
      <c r="Z209" s="9">
        <v>0</v>
      </c>
      <c r="AA209" s="9">
        <v>10</v>
      </c>
      <c r="AB209" s="9">
        <v>6</v>
      </c>
      <c r="AC209" s="9">
        <v>14</v>
      </c>
      <c r="AD209" s="9" t="s">
        <v>0</v>
      </c>
      <c r="AE209" s="9" t="s">
        <v>60</v>
      </c>
    </row>
    <row r="210" spans="1:31" ht="127.5" x14ac:dyDescent="0.2">
      <c r="A210" s="8" t="str">
        <f>HYPERLINK("http://www.patentics.cn/invokexml.do?sx=showpatent_cn&amp;sf=ShowPatent&amp;spn=US9104411&amp;sx=showpatent_cn&amp;sv=956a8a7ce5540393d1a9df1cc21fe9fc","US9104411")</f>
        <v>US9104411</v>
      </c>
      <c r="B210" s="9" t="s">
        <v>1074</v>
      </c>
      <c r="C210" s="9" t="s">
        <v>1062</v>
      </c>
      <c r="D210" s="9" t="s">
        <v>48</v>
      </c>
      <c r="E210" s="9" t="s">
        <v>49</v>
      </c>
      <c r="F210" s="9" t="s">
        <v>1075</v>
      </c>
      <c r="G210" s="9" t="s">
        <v>1064</v>
      </c>
      <c r="H210" s="9" t="s">
        <v>1065</v>
      </c>
      <c r="I210" s="9" t="s">
        <v>1076</v>
      </c>
      <c r="J210" s="9" t="s">
        <v>874</v>
      </c>
      <c r="K210" s="9" t="s">
        <v>885</v>
      </c>
      <c r="L210" s="9" t="s">
        <v>1022</v>
      </c>
      <c r="M210" s="9">
        <v>40</v>
      </c>
      <c r="N210" s="9">
        <v>11</v>
      </c>
      <c r="O210" s="9" t="s">
        <v>57</v>
      </c>
      <c r="P210" s="9" t="s">
        <v>58</v>
      </c>
      <c r="Q210" s="9">
        <v>131</v>
      </c>
      <c r="R210" s="9">
        <v>5</v>
      </c>
      <c r="S210" s="9">
        <v>126</v>
      </c>
      <c r="T210" s="9">
        <v>43</v>
      </c>
      <c r="U210" s="9">
        <v>2</v>
      </c>
      <c r="V210" s="9" t="s">
        <v>78</v>
      </c>
      <c r="W210" s="9">
        <v>0</v>
      </c>
      <c r="X210" s="9">
        <v>2</v>
      </c>
      <c r="Y210" s="9">
        <v>1</v>
      </c>
      <c r="Z210" s="9">
        <v>1</v>
      </c>
      <c r="AA210" s="9">
        <v>16</v>
      </c>
      <c r="AB210" s="9">
        <v>6</v>
      </c>
      <c r="AC210" s="9">
        <v>14</v>
      </c>
      <c r="AD210" s="9" t="s">
        <v>0</v>
      </c>
      <c r="AE210" s="9" t="s">
        <v>60</v>
      </c>
    </row>
    <row r="211" spans="1:31" ht="140.25" x14ac:dyDescent="0.2">
      <c r="A211" s="8" t="str">
        <f>HYPERLINK("http://www.patentics.cn/invokexml.do?sx=showpatent_cn&amp;sf=ShowPatent&amp;spn=US9128705&amp;sx=showpatent_cn&amp;sv=3c9331a94569e49885ceb49584c61bd9","US9128705")</f>
        <v>US9128705</v>
      </c>
      <c r="B211" s="9" t="s">
        <v>1077</v>
      </c>
      <c r="C211" s="9" t="s">
        <v>1078</v>
      </c>
      <c r="D211" s="9" t="s">
        <v>48</v>
      </c>
      <c r="E211" s="9" t="s">
        <v>49</v>
      </c>
      <c r="F211" s="9" t="s">
        <v>1079</v>
      </c>
      <c r="G211" s="9" t="s">
        <v>1064</v>
      </c>
      <c r="H211" s="9" t="s">
        <v>1065</v>
      </c>
      <c r="I211" s="9" t="s">
        <v>1066</v>
      </c>
      <c r="J211" s="9" t="s">
        <v>190</v>
      </c>
      <c r="K211" s="9" t="s">
        <v>885</v>
      </c>
      <c r="L211" s="9" t="s">
        <v>1080</v>
      </c>
      <c r="M211" s="9">
        <v>28</v>
      </c>
      <c r="N211" s="9">
        <v>13</v>
      </c>
      <c r="O211" s="9" t="s">
        <v>57</v>
      </c>
      <c r="P211" s="9" t="s">
        <v>58</v>
      </c>
      <c r="Q211" s="9">
        <v>132</v>
      </c>
      <c r="R211" s="9">
        <v>6</v>
      </c>
      <c r="S211" s="9">
        <v>126</v>
      </c>
      <c r="T211" s="9">
        <v>43</v>
      </c>
      <c r="U211" s="9">
        <v>0</v>
      </c>
      <c r="V211" s="9" t="s">
        <v>114</v>
      </c>
      <c r="W211" s="9">
        <v>0</v>
      </c>
      <c r="X211" s="9">
        <v>0</v>
      </c>
      <c r="Y211" s="9">
        <v>0</v>
      </c>
      <c r="Z211" s="9">
        <v>0</v>
      </c>
      <c r="AA211" s="9">
        <v>9</v>
      </c>
      <c r="AB211" s="9">
        <v>6</v>
      </c>
      <c r="AC211" s="9">
        <v>14</v>
      </c>
      <c r="AD211" s="9" t="s">
        <v>0</v>
      </c>
      <c r="AE211" s="9" t="s">
        <v>60</v>
      </c>
    </row>
    <row r="212" spans="1:31" ht="114.75" x14ac:dyDescent="0.2">
      <c r="A212" s="8" t="str">
        <f>HYPERLINK("http://www.patentics.cn/invokexml.do?sx=showpatent_cn&amp;sf=ShowPatent&amp;spn=US9176572&amp;sx=showpatent_cn&amp;sv=d36f2dfed0ccd8c98d66e34541038e6c","US9176572")</f>
        <v>US9176572</v>
      </c>
      <c r="B212" s="9" t="s">
        <v>1081</v>
      </c>
      <c r="C212" s="9" t="s">
        <v>1062</v>
      </c>
      <c r="D212" s="9" t="s">
        <v>48</v>
      </c>
      <c r="E212" s="9" t="s">
        <v>49</v>
      </c>
      <c r="F212" s="9" t="s">
        <v>1063</v>
      </c>
      <c r="G212" s="9" t="s">
        <v>1064</v>
      </c>
      <c r="H212" s="9" t="s">
        <v>1065</v>
      </c>
      <c r="I212" s="9" t="s">
        <v>1082</v>
      </c>
      <c r="J212" s="9" t="s">
        <v>228</v>
      </c>
      <c r="K212" s="9" t="s">
        <v>885</v>
      </c>
      <c r="L212" s="9" t="s">
        <v>1080</v>
      </c>
      <c r="M212" s="9">
        <v>40</v>
      </c>
      <c r="N212" s="9">
        <v>11</v>
      </c>
      <c r="O212" s="9" t="s">
        <v>57</v>
      </c>
      <c r="P212" s="9" t="s">
        <v>58</v>
      </c>
      <c r="Q212" s="9">
        <v>132</v>
      </c>
      <c r="R212" s="9">
        <v>5</v>
      </c>
      <c r="S212" s="9">
        <v>127</v>
      </c>
      <c r="T212" s="9">
        <v>43</v>
      </c>
      <c r="U212" s="9">
        <v>2</v>
      </c>
      <c r="V212" s="9" t="s">
        <v>70</v>
      </c>
      <c r="W212" s="9">
        <v>0</v>
      </c>
      <c r="X212" s="9">
        <v>2</v>
      </c>
      <c r="Y212" s="9">
        <v>1</v>
      </c>
      <c r="Z212" s="9">
        <v>1</v>
      </c>
      <c r="AA212" s="9">
        <v>16</v>
      </c>
      <c r="AB212" s="9">
        <v>6</v>
      </c>
      <c r="AC212" s="9">
        <v>14</v>
      </c>
      <c r="AD212" s="9" t="s">
        <v>0</v>
      </c>
      <c r="AE212" s="9" t="s">
        <v>60</v>
      </c>
    </row>
    <row r="213" spans="1:31" ht="140.25" x14ac:dyDescent="0.2">
      <c r="A213" s="8" t="str">
        <f>HYPERLINK("http://www.patentics.cn/invokexml.do?sx=showpatent_cn&amp;sf=ShowPatent&amp;spn=US9563250&amp;sx=showpatent_cn&amp;sv=24b742e48c1329de6d13e8bc16f5bcc3","US9563250")</f>
        <v>US9563250</v>
      </c>
      <c r="B213" s="9" t="s">
        <v>1083</v>
      </c>
      <c r="C213" s="9" t="s">
        <v>1084</v>
      </c>
      <c r="D213" s="9" t="s">
        <v>48</v>
      </c>
      <c r="E213" s="9" t="s">
        <v>49</v>
      </c>
      <c r="F213" s="9" t="s">
        <v>1085</v>
      </c>
      <c r="G213" s="9" t="s">
        <v>1086</v>
      </c>
      <c r="H213" s="9" t="s">
        <v>1065</v>
      </c>
      <c r="I213" s="9" t="s">
        <v>1066</v>
      </c>
      <c r="J213" s="9" t="s">
        <v>1087</v>
      </c>
      <c r="K213" s="9" t="s">
        <v>885</v>
      </c>
      <c r="L213" s="9" t="s">
        <v>1080</v>
      </c>
      <c r="M213" s="9">
        <v>40</v>
      </c>
      <c r="N213" s="9">
        <v>26</v>
      </c>
      <c r="O213" s="9" t="s">
        <v>57</v>
      </c>
      <c r="P213" s="9" t="s">
        <v>58</v>
      </c>
      <c r="Q213" s="9">
        <v>135</v>
      </c>
      <c r="R213" s="9">
        <v>6</v>
      </c>
      <c r="S213" s="9">
        <v>129</v>
      </c>
      <c r="T213" s="9">
        <v>43</v>
      </c>
      <c r="U213" s="9">
        <v>0</v>
      </c>
      <c r="V213" s="9" t="s">
        <v>114</v>
      </c>
      <c r="W213" s="9">
        <v>0</v>
      </c>
      <c r="X213" s="9">
        <v>0</v>
      </c>
      <c r="Y213" s="9">
        <v>0</v>
      </c>
      <c r="Z213" s="9">
        <v>0</v>
      </c>
      <c r="AA213" s="9">
        <v>10</v>
      </c>
      <c r="AB213" s="9">
        <v>7</v>
      </c>
      <c r="AC213" s="9">
        <v>14</v>
      </c>
      <c r="AD213" s="9" t="s">
        <v>0</v>
      </c>
      <c r="AE213" s="9" t="s">
        <v>60</v>
      </c>
    </row>
    <row r="214" spans="1:31" ht="114.75" x14ac:dyDescent="0.2">
      <c r="A214" s="8" t="str">
        <f>HYPERLINK("http://www.patentics.cn/invokexml.do?sx=showpatent_cn&amp;sf=ShowPatent&amp;spn=CN102656539B&amp;sx=showpatent_cn&amp;sv=8963b7f6808904baae8f65beadd68dea","CN102656539B")</f>
        <v>CN102656539B</v>
      </c>
      <c r="B214" s="9" t="s">
        <v>1088</v>
      </c>
      <c r="C214" s="9" t="s">
        <v>1089</v>
      </c>
      <c r="D214" s="9" t="s">
        <v>301</v>
      </c>
      <c r="E214" s="9" t="s">
        <v>301</v>
      </c>
      <c r="F214" s="9" t="s">
        <v>1090</v>
      </c>
      <c r="G214" s="9" t="s">
        <v>1091</v>
      </c>
      <c r="H214" s="9" t="s">
        <v>1065</v>
      </c>
      <c r="I214" s="9" t="s">
        <v>1092</v>
      </c>
      <c r="J214" s="9" t="s">
        <v>1093</v>
      </c>
      <c r="K214" s="9" t="s">
        <v>885</v>
      </c>
      <c r="L214" s="9" t="s">
        <v>1080</v>
      </c>
      <c r="M214" s="9">
        <v>27</v>
      </c>
      <c r="N214" s="9">
        <v>18</v>
      </c>
      <c r="O214" s="9" t="s">
        <v>57</v>
      </c>
      <c r="P214" s="9" t="s">
        <v>58</v>
      </c>
      <c r="Q214" s="9">
        <v>9</v>
      </c>
      <c r="R214" s="9">
        <v>0</v>
      </c>
      <c r="S214" s="9">
        <v>9</v>
      </c>
      <c r="T214" s="9">
        <v>7</v>
      </c>
      <c r="U214" s="9">
        <v>0</v>
      </c>
      <c r="V214" s="9" t="s">
        <v>114</v>
      </c>
      <c r="W214" s="9">
        <v>0</v>
      </c>
      <c r="X214" s="9">
        <v>0</v>
      </c>
      <c r="Y214" s="9">
        <v>0</v>
      </c>
      <c r="Z214" s="9">
        <v>0</v>
      </c>
      <c r="AA214" s="9">
        <v>10</v>
      </c>
      <c r="AB214" s="9">
        <v>7</v>
      </c>
      <c r="AC214" s="9">
        <v>14</v>
      </c>
      <c r="AD214" s="9" t="s">
        <v>0</v>
      </c>
      <c r="AE214" s="9" t="s">
        <v>60</v>
      </c>
    </row>
    <row r="215" spans="1:31" ht="114.75" x14ac:dyDescent="0.2">
      <c r="A215" s="8" t="str">
        <f>HYPERLINK("http://www.patentics.cn/invokexml.do?sx=showpatent_cn&amp;sf=ShowPatent&amp;spn=CN102656539&amp;sx=showpatent_cn&amp;sv=8cdc09d0ac265d7ccd2754e50edefff7","CN102656539")</f>
        <v>CN102656539</v>
      </c>
      <c r="B215" s="9" t="s">
        <v>1088</v>
      </c>
      <c r="C215" s="9" t="s">
        <v>1089</v>
      </c>
      <c r="D215" s="9" t="s">
        <v>301</v>
      </c>
      <c r="E215" s="9" t="s">
        <v>301</v>
      </c>
      <c r="F215" s="9" t="s">
        <v>1090</v>
      </c>
      <c r="G215" s="9" t="s">
        <v>1091</v>
      </c>
      <c r="H215" s="9" t="s">
        <v>1065</v>
      </c>
      <c r="I215" s="9" t="s">
        <v>1092</v>
      </c>
      <c r="J215" s="9" t="s">
        <v>1094</v>
      </c>
      <c r="K215" s="9" t="s">
        <v>885</v>
      </c>
      <c r="L215" s="9" t="s">
        <v>1080</v>
      </c>
      <c r="M215" s="9">
        <v>40</v>
      </c>
      <c r="N215" s="9">
        <v>7</v>
      </c>
      <c r="O215" s="9" t="s">
        <v>42</v>
      </c>
      <c r="P215" s="9" t="s">
        <v>58</v>
      </c>
      <c r="Q215" s="9">
        <v>9</v>
      </c>
      <c r="R215" s="9">
        <v>0</v>
      </c>
      <c r="S215" s="9">
        <v>9</v>
      </c>
      <c r="T215" s="9">
        <v>7</v>
      </c>
      <c r="U215" s="9">
        <v>0</v>
      </c>
      <c r="V215" s="9" t="s">
        <v>114</v>
      </c>
      <c r="W215" s="9">
        <v>0</v>
      </c>
      <c r="X215" s="9">
        <v>0</v>
      </c>
      <c r="Y215" s="9">
        <v>0</v>
      </c>
      <c r="Z215" s="9">
        <v>0</v>
      </c>
      <c r="AA215" s="9">
        <v>10</v>
      </c>
      <c r="AB215" s="9">
        <v>7</v>
      </c>
      <c r="AC215" s="9">
        <v>14</v>
      </c>
      <c r="AD215" s="9" t="s">
        <v>0</v>
      </c>
      <c r="AE215" s="9" t="s">
        <v>60</v>
      </c>
    </row>
    <row r="216" spans="1:31" ht="63.75" x14ac:dyDescent="0.2">
      <c r="A216" s="6" t="str">
        <f>HYPERLINK("http://www.patentics.cn/invokexml.do?sx=showpatent_cn&amp;sf=ShowPatent&amp;spn=CN1747605&amp;sx=showpatent_cn&amp;sv=3e86fc954ec962744d93f744035b3d30","CN1747605")</f>
        <v>CN1747605</v>
      </c>
      <c r="B216" s="7" t="s">
        <v>1095</v>
      </c>
      <c r="C216" s="7" t="s">
        <v>1096</v>
      </c>
      <c r="D216" s="7" t="s">
        <v>1097</v>
      </c>
      <c r="E216" s="7" t="s">
        <v>1097</v>
      </c>
      <c r="F216" s="7" t="s">
        <v>1098</v>
      </c>
      <c r="G216" s="7" t="s">
        <v>1099</v>
      </c>
      <c r="H216" s="7" t="s">
        <v>1100</v>
      </c>
      <c r="I216" s="7" t="s">
        <v>1100</v>
      </c>
      <c r="J216" s="7" t="s">
        <v>1101</v>
      </c>
      <c r="K216" s="7" t="s">
        <v>96</v>
      </c>
      <c r="L216" s="7" t="s">
        <v>1102</v>
      </c>
      <c r="M216" s="7">
        <v>4</v>
      </c>
      <c r="N216" s="7">
        <v>26</v>
      </c>
      <c r="O216" s="7" t="s">
        <v>42</v>
      </c>
      <c r="P216" s="7" t="s">
        <v>43</v>
      </c>
      <c r="Q216" s="7">
        <v>0</v>
      </c>
      <c r="R216" s="7">
        <v>0</v>
      </c>
      <c r="S216" s="7">
        <v>0</v>
      </c>
      <c r="T216" s="7">
        <v>0</v>
      </c>
      <c r="U216" s="7">
        <v>10</v>
      </c>
      <c r="V216" s="7" t="s">
        <v>1103</v>
      </c>
      <c r="W216" s="7">
        <v>0</v>
      </c>
      <c r="X216" s="7">
        <v>10</v>
      </c>
      <c r="Y216" s="7">
        <v>3</v>
      </c>
      <c r="Z216" s="7">
        <v>2</v>
      </c>
      <c r="AA216" s="7">
        <v>1</v>
      </c>
      <c r="AB216" s="7">
        <v>1</v>
      </c>
      <c r="AC216" s="7" t="s">
        <v>0</v>
      </c>
      <c r="AD216" s="7">
        <v>8</v>
      </c>
      <c r="AE216" s="7" t="s">
        <v>60</v>
      </c>
    </row>
    <row r="217" spans="1:31" ht="76.5" x14ac:dyDescent="0.2">
      <c r="A217" s="8" t="str">
        <f>HYPERLINK("http://www.patentics.cn/invokexml.do?sx=showpatent_cn&amp;sf=ShowPatent&amp;spn=US9002349&amp;sx=showpatent_cn&amp;sv=20163497053bea78c835eba9ca046b84","US9002349")</f>
        <v>US9002349</v>
      </c>
      <c r="B217" s="9" t="s">
        <v>1104</v>
      </c>
      <c r="C217" s="9" t="s">
        <v>1105</v>
      </c>
      <c r="D217" s="9" t="s">
        <v>48</v>
      </c>
      <c r="E217" s="9" t="s">
        <v>49</v>
      </c>
      <c r="F217" s="9" t="s">
        <v>1106</v>
      </c>
      <c r="G217" s="9" t="s">
        <v>1107</v>
      </c>
      <c r="H217" s="9" t="s">
        <v>1108</v>
      </c>
      <c r="I217" s="9" t="s">
        <v>1109</v>
      </c>
      <c r="J217" s="9" t="s">
        <v>1110</v>
      </c>
      <c r="K217" s="9" t="s">
        <v>55</v>
      </c>
      <c r="L217" s="9" t="s">
        <v>947</v>
      </c>
      <c r="M217" s="9">
        <v>20</v>
      </c>
      <c r="N217" s="9">
        <v>16</v>
      </c>
      <c r="O217" s="9" t="s">
        <v>57</v>
      </c>
      <c r="P217" s="9" t="s">
        <v>58</v>
      </c>
      <c r="Q217" s="9">
        <v>223</v>
      </c>
      <c r="R217" s="9">
        <v>31</v>
      </c>
      <c r="S217" s="9">
        <v>192</v>
      </c>
      <c r="T217" s="9">
        <v>81</v>
      </c>
      <c r="U217" s="9">
        <v>3</v>
      </c>
      <c r="V217" s="9" t="s">
        <v>264</v>
      </c>
      <c r="W217" s="9">
        <v>1</v>
      </c>
      <c r="X217" s="9">
        <v>2</v>
      </c>
      <c r="Y217" s="9">
        <v>2</v>
      </c>
      <c r="Z217" s="9">
        <v>1</v>
      </c>
      <c r="AA217" s="9">
        <v>20</v>
      </c>
      <c r="AB217" s="9">
        <v>7</v>
      </c>
      <c r="AC217" s="9">
        <v>14</v>
      </c>
      <c r="AD217" s="9" t="s">
        <v>0</v>
      </c>
      <c r="AE217" s="9" t="s">
        <v>60</v>
      </c>
    </row>
    <row r="218" spans="1:31" ht="76.5" x14ac:dyDescent="0.2">
      <c r="A218" s="8" t="str">
        <f>HYPERLINK("http://www.patentics.cn/invokexml.do?sx=showpatent_cn&amp;sf=ShowPatent&amp;spn=US9125153&amp;sx=showpatent_cn&amp;sv=6678dedeca4d1d7353bb88d24a3bbed7","US9125153")</f>
        <v>US9125153</v>
      </c>
      <c r="B218" s="9" t="s">
        <v>1111</v>
      </c>
      <c r="C218" s="9" t="s">
        <v>1112</v>
      </c>
      <c r="D218" s="9" t="s">
        <v>48</v>
      </c>
      <c r="E218" s="9" t="s">
        <v>49</v>
      </c>
      <c r="F218" s="9" t="s">
        <v>1113</v>
      </c>
      <c r="G218" s="9" t="s">
        <v>1114</v>
      </c>
      <c r="H218" s="9" t="s">
        <v>1115</v>
      </c>
      <c r="I218" s="9" t="s">
        <v>406</v>
      </c>
      <c r="J218" s="9" t="s">
        <v>1116</v>
      </c>
      <c r="K218" s="9" t="s">
        <v>68</v>
      </c>
      <c r="L218" s="9" t="s">
        <v>446</v>
      </c>
      <c r="M218" s="9">
        <v>33</v>
      </c>
      <c r="N218" s="9">
        <v>12</v>
      </c>
      <c r="O218" s="9" t="s">
        <v>57</v>
      </c>
      <c r="P218" s="9" t="s">
        <v>58</v>
      </c>
      <c r="Q218" s="9">
        <v>231</v>
      </c>
      <c r="R218" s="9">
        <v>31</v>
      </c>
      <c r="S218" s="9">
        <v>200</v>
      </c>
      <c r="T218" s="9">
        <v>85</v>
      </c>
      <c r="U218" s="9">
        <v>0</v>
      </c>
      <c r="V218" s="9" t="s">
        <v>114</v>
      </c>
      <c r="W218" s="9">
        <v>0</v>
      </c>
      <c r="X218" s="9">
        <v>0</v>
      </c>
      <c r="Y218" s="9">
        <v>0</v>
      </c>
      <c r="Z218" s="9">
        <v>0</v>
      </c>
      <c r="AA218" s="9">
        <v>11</v>
      </c>
      <c r="AB218" s="9">
        <v>7</v>
      </c>
      <c r="AC218" s="9">
        <v>14</v>
      </c>
      <c r="AD218" s="9" t="s">
        <v>0</v>
      </c>
      <c r="AE218" s="9" t="s">
        <v>60</v>
      </c>
    </row>
    <row r="219" spans="1:31" ht="127.5" x14ac:dyDescent="0.2">
      <c r="A219" s="8" t="str">
        <f>HYPERLINK("http://www.patentics.cn/invokexml.do?sx=showpatent_cn&amp;sf=ShowPatent&amp;spn=US9137681&amp;sx=showpatent_cn&amp;sv=823ce4403d2e86eb46858a9028b18b57","US9137681")</f>
        <v>US9137681</v>
      </c>
      <c r="B219" s="9" t="s">
        <v>1117</v>
      </c>
      <c r="C219" s="9" t="s">
        <v>1118</v>
      </c>
      <c r="D219" s="9" t="s">
        <v>48</v>
      </c>
      <c r="E219" s="9" t="s">
        <v>49</v>
      </c>
      <c r="F219" s="9" t="s">
        <v>1119</v>
      </c>
      <c r="G219" s="9" t="s">
        <v>943</v>
      </c>
      <c r="H219" s="9" t="s">
        <v>1120</v>
      </c>
      <c r="I219" s="9" t="s">
        <v>1121</v>
      </c>
      <c r="J219" s="9" t="s">
        <v>196</v>
      </c>
      <c r="K219" s="9" t="s">
        <v>55</v>
      </c>
      <c r="L219" s="9" t="s">
        <v>947</v>
      </c>
      <c r="M219" s="9">
        <v>28</v>
      </c>
      <c r="N219" s="9">
        <v>15</v>
      </c>
      <c r="O219" s="9" t="s">
        <v>57</v>
      </c>
      <c r="P219" s="9" t="s">
        <v>58</v>
      </c>
      <c r="Q219" s="9">
        <v>228</v>
      </c>
      <c r="R219" s="9">
        <v>30</v>
      </c>
      <c r="S219" s="9">
        <v>198</v>
      </c>
      <c r="T219" s="9">
        <v>83</v>
      </c>
      <c r="U219" s="9">
        <v>0</v>
      </c>
      <c r="V219" s="9" t="s">
        <v>114</v>
      </c>
      <c r="W219" s="9">
        <v>0</v>
      </c>
      <c r="X219" s="9">
        <v>0</v>
      </c>
      <c r="Y219" s="9">
        <v>0</v>
      </c>
      <c r="Z219" s="9">
        <v>0</v>
      </c>
      <c r="AA219" s="9">
        <v>12</v>
      </c>
      <c r="AB219" s="9">
        <v>6</v>
      </c>
      <c r="AC219" s="9">
        <v>14</v>
      </c>
      <c r="AD219" s="9" t="s">
        <v>0</v>
      </c>
      <c r="AE219" s="9" t="s">
        <v>60</v>
      </c>
    </row>
    <row r="220" spans="1:31" ht="102" x14ac:dyDescent="0.2">
      <c r="A220" s="8" t="str">
        <f>HYPERLINK("http://www.patentics.cn/invokexml.do?sx=showpatent_cn&amp;sf=ShowPatent&amp;spn=US9213082&amp;sx=showpatent_cn&amp;sv=24438180cbe09fbb32dfea2f6b20f3e3","US9213082")</f>
        <v>US9213082</v>
      </c>
      <c r="B220" s="9" t="s">
        <v>1122</v>
      </c>
      <c r="C220" s="9" t="s">
        <v>1123</v>
      </c>
      <c r="D220" s="9" t="s">
        <v>48</v>
      </c>
      <c r="E220" s="9" t="s">
        <v>49</v>
      </c>
      <c r="F220" s="9" t="s">
        <v>1124</v>
      </c>
      <c r="G220" s="9" t="s">
        <v>1114</v>
      </c>
      <c r="H220" s="9" t="s">
        <v>1125</v>
      </c>
      <c r="I220" s="9" t="s">
        <v>1126</v>
      </c>
      <c r="J220" s="9" t="s">
        <v>1127</v>
      </c>
      <c r="K220" s="9" t="s">
        <v>40</v>
      </c>
      <c r="L220" s="9" t="s">
        <v>1128</v>
      </c>
      <c r="M220" s="9">
        <v>29</v>
      </c>
      <c r="N220" s="9">
        <v>15</v>
      </c>
      <c r="O220" s="9" t="s">
        <v>57</v>
      </c>
      <c r="P220" s="9" t="s">
        <v>58</v>
      </c>
      <c r="Q220" s="9">
        <v>230</v>
      </c>
      <c r="R220" s="9">
        <v>30</v>
      </c>
      <c r="S220" s="9">
        <v>200</v>
      </c>
      <c r="T220" s="9">
        <v>85</v>
      </c>
      <c r="U220" s="9">
        <v>1</v>
      </c>
      <c r="V220" s="9" t="s">
        <v>70</v>
      </c>
      <c r="W220" s="9">
        <v>1</v>
      </c>
      <c r="X220" s="9">
        <v>0</v>
      </c>
      <c r="Y220" s="9">
        <v>1</v>
      </c>
      <c r="Z220" s="9">
        <v>1</v>
      </c>
      <c r="AA220" s="9">
        <v>26</v>
      </c>
      <c r="AB220" s="9">
        <v>8</v>
      </c>
      <c r="AC220" s="9">
        <v>14</v>
      </c>
      <c r="AD220" s="9" t="s">
        <v>0</v>
      </c>
      <c r="AE220" s="9" t="s">
        <v>60</v>
      </c>
    </row>
    <row r="221" spans="1:31" ht="127.5" x14ac:dyDescent="0.2">
      <c r="A221" s="8" t="str">
        <f>HYPERLINK("http://www.patentics.cn/invokexml.do?sx=showpatent_cn&amp;sf=ShowPatent&amp;spn=US9247446&amp;sx=showpatent_cn&amp;sv=07e36b35be51a45955f1bef16aadf230","US9247446")</f>
        <v>US9247446</v>
      </c>
      <c r="B221" s="9" t="s">
        <v>1129</v>
      </c>
      <c r="C221" s="9" t="s">
        <v>1130</v>
      </c>
      <c r="D221" s="9" t="s">
        <v>48</v>
      </c>
      <c r="E221" s="9" t="s">
        <v>49</v>
      </c>
      <c r="F221" s="9" t="s">
        <v>1119</v>
      </c>
      <c r="G221" s="9" t="s">
        <v>943</v>
      </c>
      <c r="H221" s="9" t="s">
        <v>1120</v>
      </c>
      <c r="I221" s="9" t="s">
        <v>1131</v>
      </c>
      <c r="J221" s="9" t="s">
        <v>262</v>
      </c>
      <c r="K221" s="9" t="s">
        <v>55</v>
      </c>
      <c r="L221" s="9" t="s">
        <v>947</v>
      </c>
      <c r="M221" s="9">
        <v>17</v>
      </c>
      <c r="N221" s="9">
        <v>8</v>
      </c>
      <c r="O221" s="9" t="s">
        <v>57</v>
      </c>
      <c r="P221" s="9" t="s">
        <v>58</v>
      </c>
      <c r="Q221" s="9">
        <v>243</v>
      </c>
      <c r="R221" s="9">
        <v>42</v>
      </c>
      <c r="S221" s="9">
        <v>201</v>
      </c>
      <c r="T221" s="9">
        <v>85</v>
      </c>
      <c r="U221" s="9">
        <v>0</v>
      </c>
      <c r="V221" s="9" t="s">
        <v>114</v>
      </c>
      <c r="W221" s="9">
        <v>0</v>
      </c>
      <c r="X221" s="9">
        <v>0</v>
      </c>
      <c r="Y221" s="9">
        <v>0</v>
      </c>
      <c r="Z221" s="9">
        <v>0</v>
      </c>
      <c r="AA221" s="9">
        <v>12</v>
      </c>
      <c r="AB221" s="9">
        <v>6</v>
      </c>
      <c r="AC221" s="9">
        <v>14</v>
      </c>
      <c r="AD221" s="9" t="s">
        <v>0</v>
      </c>
      <c r="AE221" s="9" t="s">
        <v>60</v>
      </c>
    </row>
    <row r="222" spans="1:31" ht="76.5" x14ac:dyDescent="0.2">
      <c r="A222" s="8" t="str">
        <f>HYPERLINK("http://www.patentics.cn/invokexml.do?sx=showpatent_cn&amp;sf=ShowPatent&amp;spn=US9291704&amp;sx=showpatent_cn&amp;sv=f5c0cb6a945d4748f0ad64f3fbff7eac","US9291704")</f>
        <v>US9291704</v>
      </c>
      <c r="B222" s="9" t="s">
        <v>1132</v>
      </c>
      <c r="C222" s="9" t="s">
        <v>1133</v>
      </c>
      <c r="D222" s="9" t="s">
        <v>48</v>
      </c>
      <c r="E222" s="9" t="s">
        <v>49</v>
      </c>
      <c r="F222" s="9" t="s">
        <v>1134</v>
      </c>
      <c r="G222" s="9" t="s">
        <v>1135</v>
      </c>
      <c r="H222" s="9" t="s">
        <v>1125</v>
      </c>
      <c r="I222" s="9" t="s">
        <v>1136</v>
      </c>
      <c r="J222" s="9" t="s">
        <v>798</v>
      </c>
      <c r="K222" s="9" t="s">
        <v>55</v>
      </c>
      <c r="L222" s="9" t="s">
        <v>947</v>
      </c>
      <c r="M222" s="9">
        <v>4</v>
      </c>
      <c r="N222" s="9">
        <v>13</v>
      </c>
      <c r="O222" s="9" t="s">
        <v>57</v>
      </c>
      <c r="P222" s="9" t="s">
        <v>58</v>
      </c>
      <c r="Q222" s="9">
        <v>238</v>
      </c>
      <c r="R222" s="9">
        <v>39</v>
      </c>
      <c r="S222" s="9">
        <v>199</v>
      </c>
      <c r="T222" s="9">
        <v>85</v>
      </c>
      <c r="U222" s="9">
        <v>0</v>
      </c>
      <c r="V222" s="9" t="s">
        <v>114</v>
      </c>
      <c r="W222" s="9">
        <v>0</v>
      </c>
      <c r="X222" s="9">
        <v>0</v>
      </c>
      <c r="Y222" s="9">
        <v>0</v>
      </c>
      <c r="Z222" s="9">
        <v>0</v>
      </c>
      <c r="AA222" s="9">
        <v>15</v>
      </c>
      <c r="AB222" s="9">
        <v>7</v>
      </c>
      <c r="AC222" s="9">
        <v>14</v>
      </c>
      <c r="AD222" s="9" t="s">
        <v>0</v>
      </c>
      <c r="AE222" s="9" t="s">
        <v>60</v>
      </c>
    </row>
    <row r="223" spans="1:31" ht="63.75" x14ac:dyDescent="0.2">
      <c r="A223" s="8" t="str">
        <f>HYPERLINK("http://www.patentics.cn/invokexml.do?sx=showpatent_cn&amp;sf=ShowPatent&amp;spn=US9645225&amp;sx=showpatent_cn&amp;sv=d014c85a981b83a9e7b83ad27cc110c6","US9645225")</f>
        <v>US9645225</v>
      </c>
      <c r="B223" s="9" t="s">
        <v>1137</v>
      </c>
      <c r="C223" s="9" t="s">
        <v>1138</v>
      </c>
      <c r="D223" s="9" t="s">
        <v>48</v>
      </c>
      <c r="E223" s="9" t="s">
        <v>49</v>
      </c>
      <c r="F223" s="9" t="s">
        <v>1139</v>
      </c>
      <c r="G223" s="9" t="s">
        <v>1114</v>
      </c>
      <c r="H223" s="9" t="s">
        <v>1125</v>
      </c>
      <c r="I223" s="9" t="s">
        <v>1140</v>
      </c>
      <c r="J223" s="9" t="s">
        <v>1141</v>
      </c>
      <c r="K223" s="9" t="s">
        <v>1142</v>
      </c>
      <c r="L223" s="9" t="s">
        <v>1143</v>
      </c>
      <c r="M223" s="9">
        <v>54</v>
      </c>
      <c r="N223" s="9">
        <v>23</v>
      </c>
      <c r="O223" s="9" t="s">
        <v>57</v>
      </c>
      <c r="P223" s="9" t="s">
        <v>58</v>
      </c>
      <c r="Q223" s="9">
        <v>239</v>
      </c>
      <c r="R223" s="9">
        <v>35</v>
      </c>
      <c r="S223" s="9">
        <v>204</v>
      </c>
      <c r="T223" s="9">
        <v>88</v>
      </c>
      <c r="U223" s="9">
        <v>0</v>
      </c>
      <c r="V223" s="9" t="s">
        <v>114</v>
      </c>
      <c r="W223" s="9">
        <v>0</v>
      </c>
      <c r="X223" s="9">
        <v>0</v>
      </c>
      <c r="Y223" s="9">
        <v>0</v>
      </c>
      <c r="Z223" s="9">
        <v>0</v>
      </c>
      <c r="AA223" s="9">
        <v>11</v>
      </c>
      <c r="AB223" s="9">
        <v>7</v>
      </c>
      <c r="AC223" s="9">
        <v>14</v>
      </c>
      <c r="AD223" s="9" t="s">
        <v>0</v>
      </c>
      <c r="AE223" s="9" t="s">
        <v>60</v>
      </c>
    </row>
    <row r="224" spans="1:31" ht="51" x14ac:dyDescent="0.2">
      <c r="A224" s="8" t="str">
        <f>HYPERLINK("http://www.patentics.cn/invokexml.do?sx=showpatent_cn&amp;sf=ShowPatent&amp;spn=CN103038663B&amp;sx=showpatent_cn&amp;sv=286e8a0c19c840e76a6a6f3471af4fec","CN103038663B")</f>
        <v>CN103038663B</v>
      </c>
      <c r="B224" s="9" t="s">
        <v>1144</v>
      </c>
      <c r="C224" s="9" t="s">
        <v>1145</v>
      </c>
      <c r="D224" s="9" t="s">
        <v>301</v>
      </c>
      <c r="E224" s="9" t="s">
        <v>301</v>
      </c>
      <c r="F224" s="9" t="s">
        <v>1146</v>
      </c>
      <c r="G224" s="9" t="s">
        <v>1147</v>
      </c>
      <c r="H224" s="9" t="s">
        <v>1120</v>
      </c>
      <c r="I224" s="9" t="s">
        <v>1148</v>
      </c>
      <c r="J224" s="9" t="s">
        <v>1149</v>
      </c>
      <c r="K224" s="9" t="s">
        <v>1142</v>
      </c>
      <c r="L224" s="9" t="s">
        <v>1150</v>
      </c>
      <c r="M224" s="9">
        <v>37</v>
      </c>
      <c r="N224" s="9">
        <v>19</v>
      </c>
      <c r="O224" s="9" t="s">
        <v>57</v>
      </c>
      <c r="P224" s="9" t="s">
        <v>58</v>
      </c>
      <c r="Q224" s="9">
        <v>4</v>
      </c>
      <c r="R224" s="9">
        <v>0</v>
      </c>
      <c r="S224" s="9">
        <v>4</v>
      </c>
      <c r="T224" s="9">
        <v>4</v>
      </c>
      <c r="U224" s="9">
        <v>0</v>
      </c>
      <c r="V224" s="9" t="s">
        <v>114</v>
      </c>
      <c r="W224" s="9">
        <v>0</v>
      </c>
      <c r="X224" s="9">
        <v>0</v>
      </c>
      <c r="Y224" s="9">
        <v>0</v>
      </c>
      <c r="Z224" s="9">
        <v>0</v>
      </c>
      <c r="AA224" s="9">
        <v>0</v>
      </c>
      <c r="AB224" s="9">
        <v>0</v>
      </c>
      <c r="AC224" s="9">
        <v>14</v>
      </c>
      <c r="AD224" s="9" t="s">
        <v>0</v>
      </c>
      <c r="AE224" s="9" t="s">
        <v>60</v>
      </c>
    </row>
    <row r="225" spans="1:31" ht="51" x14ac:dyDescent="0.2">
      <c r="A225" s="6" t="str">
        <f>HYPERLINK("http://www.patentics.cn/invokexml.do?sx=showpatent_cn&amp;sf=ShowPatent&amp;spn=CN101251594&amp;sx=showpatent_cn&amp;sv=33a060e4677cb0311909d3b66babc881","CN101251594")</f>
        <v>CN101251594</v>
      </c>
      <c r="B225" s="7" t="s">
        <v>1151</v>
      </c>
      <c r="C225" s="7" t="s">
        <v>1152</v>
      </c>
      <c r="D225" s="7" t="s">
        <v>932</v>
      </c>
      <c r="E225" s="7" t="s">
        <v>932</v>
      </c>
      <c r="F225" s="7" t="s">
        <v>1153</v>
      </c>
      <c r="G225" s="7" t="s">
        <v>1154</v>
      </c>
      <c r="H225" s="7" t="s">
        <v>1155</v>
      </c>
      <c r="I225" s="7" t="s">
        <v>1155</v>
      </c>
      <c r="J225" s="7" t="s">
        <v>1156</v>
      </c>
      <c r="K225" s="7" t="s">
        <v>1142</v>
      </c>
      <c r="L225" s="7" t="s">
        <v>1143</v>
      </c>
      <c r="M225" s="7">
        <v>8</v>
      </c>
      <c r="N225" s="7">
        <v>109</v>
      </c>
      <c r="O225" s="7" t="s">
        <v>42</v>
      </c>
      <c r="P225" s="7" t="s">
        <v>43</v>
      </c>
      <c r="Q225" s="7">
        <v>0</v>
      </c>
      <c r="R225" s="7">
        <v>0</v>
      </c>
      <c r="S225" s="7">
        <v>0</v>
      </c>
      <c r="T225" s="7">
        <v>0</v>
      </c>
      <c r="U225" s="7">
        <v>9</v>
      </c>
      <c r="V225" s="7" t="s">
        <v>1157</v>
      </c>
      <c r="W225" s="7">
        <v>0</v>
      </c>
      <c r="X225" s="7">
        <v>9</v>
      </c>
      <c r="Y225" s="7">
        <v>2</v>
      </c>
      <c r="Z225" s="7">
        <v>2</v>
      </c>
      <c r="AA225" s="7">
        <v>1</v>
      </c>
      <c r="AB225" s="7">
        <v>1</v>
      </c>
      <c r="AC225" s="7" t="s">
        <v>0</v>
      </c>
      <c r="AD225" s="7">
        <v>7</v>
      </c>
      <c r="AE225" s="7" t="s">
        <v>532</v>
      </c>
    </row>
    <row r="226" spans="1:31" ht="76.5" x14ac:dyDescent="0.2">
      <c r="A226" s="8" t="str">
        <f>HYPERLINK("http://www.patentics.cn/invokexml.do?sx=showpatent_cn&amp;sf=ShowPatent&amp;spn=US8812063&amp;sx=showpatent_cn&amp;sv=985dc00a88085cec0ff57b721acff3d8","US8812063")</f>
        <v>US8812063</v>
      </c>
      <c r="B226" s="9" t="s">
        <v>1158</v>
      </c>
      <c r="C226" s="9" t="s">
        <v>1159</v>
      </c>
      <c r="D226" s="9" t="s">
        <v>48</v>
      </c>
      <c r="E226" s="9" t="s">
        <v>49</v>
      </c>
      <c r="F226" s="9" t="s">
        <v>1160</v>
      </c>
      <c r="G226" s="9" t="s">
        <v>1161</v>
      </c>
      <c r="H226" s="9" t="s">
        <v>1162</v>
      </c>
      <c r="I226" s="9" t="s">
        <v>1163</v>
      </c>
      <c r="J226" s="9" t="s">
        <v>946</v>
      </c>
      <c r="K226" s="9" t="s">
        <v>68</v>
      </c>
      <c r="L226" s="9" t="s">
        <v>1164</v>
      </c>
      <c r="M226" s="9">
        <v>37</v>
      </c>
      <c r="N226" s="9">
        <v>9</v>
      </c>
      <c r="O226" s="9" t="s">
        <v>57</v>
      </c>
      <c r="P226" s="9" t="s">
        <v>58</v>
      </c>
      <c r="Q226" s="9">
        <v>80</v>
      </c>
      <c r="R226" s="9">
        <v>16</v>
      </c>
      <c r="S226" s="9">
        <v>64</v>
      </c>
      <c r="T226" s="9">
        <v>46</v>
      </c>
      <c r="U226" s="9">
        <v>0</v>
      </c>
      <c r="V226" s="9" t="s">
        <v>114</v>
      </c>
      <c r="W226" s="9">
        <v>0</v>
      </c>
      <c r="X226" s="9">
        <v>0</v>
      </c>
      <c r="Y226" s="9">
        <v>0</v>
      </c>
      <c r="Z226" s="9">
        <v>0</v>
      </c>
      <c r="AA226" s="9">
        <v>6</v>
      </c>
      <c r="AB226" s="9">
        <v>2</v>
      </c>
      <c r="AC226" s="9">
        <v>14</v>
      </c>
      <c r="AD226" s="9" t="s">
        <v>0</v>
      </c>
      <c r="AE226" s="9" t="s">
        <v>60</v>
      </c>
    </row>
    <row r="227" spans="1:31" ht="89.25" x14ac:dyDescent="0.2">
      <c r="A227" s="8" t="str">
        <f>HYPERLINK("http://www.patentics.cn/invokexml.do?sx=showpatent_cn&amp;sf=ShowPatent&amp;spn=US8831141&amp;sx=showpatent_cn&amp;sv=2fb75fa2db3e4c55fd786232229a4957","US8831141")</f>
        <v>US8831141</v>
      </c>
      <c r="B227" s="9" t="s">
        <v>1165</v>
      </c>
      <c r="C227" s="9" t="s">
        <v>1166</v>
      </c>
      <c r="D227" s="9" t="s">
        <v>48</v>
      </c>
      <c r="E227" s="9" t="s">
        <v>49</v>
      </c>
      <c r="F227" s="9" t="s">
        <v>1167</v>
      </c>
      <c r="G227" s="9" t="s">
        <v>1161</v>
      </c>
      <c r="H227" s="9" t="s">
        <v>1168</v>
      </c>
      <c r="I227" s="9" t="s">
        <v>1169</v>
      </c>
      <c r="J227" s="9" t="s">
        <v>149</v>
      </c>
      <c r="K227" s="9" t="s">
        <v>68</v>
      </c>
      <c r="L227" s="9" t="s">
        <v>218</v>
      </c>
      <c r="M227" s="9">
        <v>55</v>
      </c>
      <c r="N227" s="9">
        <v>12</v>
      </c>
      <c r="O227" s="9" t="s">
        <v>57</v>
      </c>
      <c r="P227" s="9" t="s">
        <v>58</v>
      </c>
      <c r="Q227" s="9">
        <v>79</v>
      </c>
      <c r="R227" s="9">
        <v>16</v>
      </c>
      <c r="S227" s="9">
        <v>63</v>
      </c>
      <c r="T227" s="9">
        <v>46</v>
      </c>
      <c r="U227" s="9">
        <v>0</v>
      </c>
      <c r="V227" s="9" t="s">
        <v>114</v>
      </c>
      <c r="W227" s="9">
        <v>0</v>
      </c>
      <c r="X227" s="9">
        <v>0</v>
      </c>
      <c r="Y227" s="9">
        <v>0</v>
      </c>
      <c r="Z227" s="9">
        <v>0</v>
      </c>
      <c r="AA227" s="9">
        <v>3</v>
      </c>
      <c r="AB227" s="9">
        <v>2</v>
      </c>
      <c r="AC227" s="9">
        <v>14</v>
      </c>
      <c r="AD227" s="9" t="s">
        <v>0</v>
      </c>
      <c r="AE227" s="9" t="s">
        <v>60</v>
      </c>
    </row>
    <row r="228" spans="1:31" ht="89.25" x14ac:dyDescent="0.2">
      <c r="A228" s="8" t="str">
        <f>HYPERLINK("http://www.patentics.cn/invokexml.do?sx=showpatent_cn&amp;sf=ShowPatent&amp;spn=US8837307&amp;sx=showpatent_cn&amp;sv=a48c417981beb992971767c30e0e194a","US8837307")</f>
        <v>US8837307</v>
      </c>
      <c r="B228" s="9" t="s">
        <v>1170</v>
      </c>
      <c r="C228" s="9" t="s">
        <v>1171</v>
      </c>
      <c r="D228" s="9" t="s">
        <v>48</v>
      </c>
      <c r="E228" s="9" t="s">
        <v>49</v>
      </c>
      <c r="F228" s="9" t="s">
        <v>1172</v>
      </c>
      <c r="G228" s="9" t="s">
        <v>1173</v>
      </c>
      <c r="H228" s="9" t="s">
        <v>1162</v>
      </c>
      <c r="I228" s="9" t="s">
        <v>967</v>
      </c>
      <c r="J228" s="9" t="s">
        <v>1174</v>
      </c>
      <c r="K228" s="9" t="s">
        <v>55</v>
      </c>
      <c r="L228" s="9" t="s">
        <v>1175</v>
      </c>
      <c r="M228" s="9">
        <v>37</v>
      </c>
      <c r="N228" s="9">
        <v>9</v>
      </c>
      <c r="O228" s="9" t="s">
        <v>57</v>
      </c>
      <c r="P228" s="9" t="s">
        <v>58</v>
      </c>
      <c r="Q228" s="9">
        <v>77</v>
      </c>
      <c r="R228" s="9">
        <v>14</v>
      </c>
      <c r="S228" s="9">
        <v>63</v>
      </c>
      <c r="T228" s="9">
        <v>46</v>
      </c>
      <c r="U228" s="9">
        <v>0</v>
      </c>
      <c r="V228" s="9" t="s">
        <v>114</v>
      </c>
      <c r="W228" s="9">
        <v>0</v>
      </c>
      <c r="X228" s="9">
        <v>0</v>
      </c>
      <c r="Y228" s="9">
        <v>0</v>
      </c>
      <c r="Z228" s="9">
        <v>0</v>
      </c>
      <c r="AA228" s="9">
        <v>10</v>
      </c>
      <c r="AB228" s="9">
        <v>6</v>
      </c>
      <c r="AC228" s="9">
        <v>14</v>
      </c>
      <c r="AD228" s="9" t="s">
        <v>0</v>
      </c>
      <c r="AE228" s="9" t="s">
        <v>60</v>
      </c>
    </row>
    <row r="229" spans="1:31" ht="89.25" x14ac:dyDescent="0.2">
      <c r="A229" s="8" t="str">
        <f>HYPERLINK("http://www.patentics.cn/invokexml.do?sx=showpatent_cn&amp;sf=ShowPatent&amp;spn=US8879407&amp;sx=showpatent_cn&amp;sv=fa214cf2415a73f8b73f91906be14f0d","US8879407")</f>
        <v>US8879407</v>
      </c>
      <c r="B229" s="9" t="s">
        <v>1176</v>
      </c>
      <c r="C229" s="9" t="s">
        <v>1171</v>
      </c>
      <c r="D229" s="9" t="s">
        <v>48</v>
      </c>
      <c r="E229" s="9" t="s">
        <v>49</v>
      </c>
      <c r="F229" s="9" t="s">
        <v>1172</v>
      </c>
      <c r="G229" s="9" t="s">
        <v>1173</v>
      </c>
      <c r="H229" s="9" t="s">
        <v>1162</v>
      </c>
      <c r="I229" s="9" t="s">
        <v>967</v>
      </c>
      <c r="J229" s="9" t="s">
        <v>159</v>
      </c>
      <c r="K229" s="9" t="s">
        <v>55</v>
      </c>
      <c r="L229" s="9" t="s">
        <v>1175</v>
      </c>
      <c r="M229" s="9">
        <v>37</v>
      </c>
      <c r="N229" s="9">
        <v>8</v>
      </c>
      <c r="O229" s="9" t="s">
        <v>57</v>
      </c>
      <c r="P229" s="9" t="s">
        <v>58</v>
      </c>
      <c r="Q229" s="9">
        <v>79</v>
      </c>
      <c r="R229" s="9">
        <v>14</v>
      </c>
      <c r="S229" s="9">
        <v>65</v>
      </c>
      <c r="T229" s="9">
        <v>46</v>
      </c>
      <c r="U229" s="9">
        <v>0</v>
      </c>
      <c r="V229" s="9" t="s">
        <v>114</v>
      </c>
      <c r="W229" s="9">
        <v>0</v>
      </c>
      <c r="X229" s="9">
        <v>0</v>
      </c>
      <c r="Y229" s="9">
        <v>0</v>
      </c>
      <c r="Z229" s="9">
        <v>0</v>
      </c>
      <c r="AA229" s="9">
        <v>10</v>
      </c>
      <c r="AB229" s="9">
        <v>6</v>
      </c>
      <c r="AC229" s="9">
        <v>14</v>
      </c>
      <c r="AD229" s="9" t="s">
        <v>0</v>
      </c>
      <c r="AE229" s="9" t="s">
        <v>60</v>
      </c>
    </row>
    <row r="230" spans="1:31" ht="76.5" x14ac:dyDescent="0.2">
      <c r="A230" s="8" t="str">
        <f>HYPERLINK("http://www.patentics.cn/invokexml.do?sx=showpatent_cn&amp;sf=ShowPatent&amp;spn=US8886148&amp;sx=showpatent_cn&amp;sv=9a9a0eb3a6dd1fea7c323283e897a2f9","US8886148")</f>
        <v>US8886148</v>
      </c>
      <c r="B230" s="9" t="s">
        <v>1177</v>
      </c>
      <c r="C230" s="9" t="s">
        <v>1178</v>
      </c>
      <c r="D230" s="9" t="s">
        <v>48</v>
      </c>
      <c r="E230" s="9" t="s">
        <v>49</v>
      </c>
      <c r="F230" s="9" t="s">
        <v>1160</v>
      </c>
      <c r="G230" s="9" t="s">
        <v>1161</v>
      </c>
      <c r="H230" s="9" t="s">
        <v>1162</v>
      </c>
      <c r="I230" s="9" t="s">
        <v>1163</v>
      </c>
      <c r="J230" s="9" t="s">
        <v>167</v>
      </c>
      <c r="K230" s="9" t="s">
        <v>89</v>
      </c>
      <c r="L230" s="9" t="s">
        <v>478</v>
      </c>
      <c r="M230" s="9">
        <v>32</v>
      </c>
      <c r="N230" s="9">
        <v>6</v>
      </c>
      <c r="O230" s="9" t="s">
        <v>57</v>
      </c>
      <c r="P230" s="9" t="s">
        <v>58</v>
      </c>
      <c r="Q230" s="9">
        <v>80</v>
      </c>
      <c r="R230" s="9">
        <v>15</v>
      </c>
      <c r="S230" s="9">
        <v>65</v>
      </c>
      <c r="T230" s="9">
        <v>46</v>
      </c>
      <c r="U230" s="9">
        <v>0</v>
      </c>
      <c r="V230" s="9" t="s">
        <v>114</v>
      </c>
      <c r="W230" s="9">
        <v>0</v>
      </c>
      <c r="X230" s="9">
        <v>0</v>
      </c>
      <c r="Y230" s="9">
        <v>0</v>
      </c>
      <c r="Z230" s="9">
        <v>0</v>
      </c>
      <c r="AA230" s="9">
        <v>6</v>
      </c>
      <c r="AB230" s="9">
        <v>2</v>
      </c>
      <c r="AC230" s="9">
        <v>14</v>
      </c>
      <c r="AD230" s="9" t="s">
        <v>0</v>
      </c>
      <c r="AE230" s="9" t="s">
        <v>60</v>
      </c>
    </row>
    <row r="231" spans="1:31" ht="51" x14ac:dyDescent="0.2">
      <c r="A231" s="8" t="str">
        <f>HYPERLINK("http://www.patentics.cn/invokexml.do?sx=showpatent_cn&amp;sf=ShowPatent&amp;spn=CN102906590B&amp;sx=showpatent_cn&amp;sv=6cc1e8ab28ffa52c21a1976c16f694f8","CN102906590B")</f>
        <v>CN102906590B</v>
      </c>
      <c r="B231" s="9" t="s">
        <v>1179</v>
      </c>
      <c r="C231" s="9" t="s">
        <v>1180</v>
      </c>
      <c r="D231" s="9" t="s">
        <v>301</v>
      </c>
      <c r="E231" s="9" t="s">
        <v>301</v>
      </c>
      <c r="F231" s="9" t="s">
        <v>1181</v>
      </c>
      <c r="G231" s="9" t="s">
        <v>1182</v>
      </c>
      <c r="H231" s="9" t="s">
        <v>1162</v>
      </c>
      <c r="I231" s="9" t="s">
        <v>1183</v>
      </c>
      <c r="J231" s="9" t="s">
        <v>1184</v>
      </c>
      <c r="K231" s="9" t="s">
        <v>1142</v>
      </c>
      <c r="L231" s="9" t="s">
        <v>1150</v>
      </c>
      <c r="M231" s="9">
        <v>37</v>
      </c>
      <c r="N231" s="9">
        <v>17</v>
      </c>
      <c r="O231" s="9" t="s">
        <v>57</v>
      </c>
      <c r="P231" s="9" t="s">
        <v>58</v>
      </c>
      <c r="Q231" s="9">
        <v>4</v>
      </c>
      <c r="R231" s="9">
        <v>1</v>
      </c>
      <c r="S231" s="9">
        <v>3</v>
      </c>
      <c r="T231" s="9">
        <v>3</v>
      </c>
      <c r="U231" s="9">
        <v>0</v>
      </c>
      <c r="V231" s="9" t="s">
        <v>114</v>
      </c>
      <c r="W231" s="9">
        <v>0</v>
      </c>
      <c r="X231" s="9">
        <v>0</v>
      </c>
      <c r="Y231" s="9">
        <v>0</v>
      </c>
      <c r="Z231" s="9">
        <v>0</v>
      </c>
      <c r="AA231" s="9">
        <v>10</v>
      </c>
      <c r="AB231" s="9">
        <v>6</v>
      </c>
      <c r="AC231" s="9">
        <v>14</v>
      </c>
      <c r="AD231" s="9" t="s">
        <v>0</v>
      </c>
      <c r="AE231" s="9" t="s">
        <v>60</v>
      </c>
    </row>
    <row r="232" spans="1:31" ht="51" x14ac:dyDescent="0.2">
      <c r="A232" s="8" t="str">
        <f>HYPERLINK("http://www.patentics.cn/invokexml.do?sx=showpatent_cn&amp;sf=ShowPatent&amp;spn=CN102906590&amp;sx=showpatent_cn&amp;sv=a6cb9bb4c3099c027d386e67f3670b7c","CN102906590")</f>
        <v>CN102906590</v>
      </c>
      <c r="B232" s="9" t="s">
        <v>1179</v>
      </c>
      <c r="C232" s="9" t="s">
        <v>1180</v>
      </c>
      <c r="D232" s="9" t="s">
        <v>301</v>
      </c>
      <c r="E232" s="9" t="s">
        <v>301</v>
      </c>
      <c r="F232" s="9" t="s">
        <v>1181</v>
      </c>
      <c r="G232" s="9" t="s">
        <v>1182</v>
      </c>
      <c r="H232" s="9" t="s">
        <v>1162</v>
      </c>
      <c r="I232" s="9" t="s">
        <v>1183</v>
      </c>
      <c r="J232" s="9" t="s">
        <v>1185</v>
      </c>
      <c r="K232" s="9" t="s">
        <v>1142</v>
      </c>
      <c r="L232" s="9" t="s">
        <v>1150</v>
      </c>
      <c r="M232" s="9">
        <v>40</v>
      </c>
      <c r="N232" s="9">
        <v>9</v>
      </c>
      <c r="O232" s="9" t="s">
        <v>42</v>
      </c>
      <c r="P232" s="9" t="s">
        <v>58</v>
      </c>
      <c r="Q232" s="9">
        <v>4</v>
      </c>
      <c r="R232" s="9">
        <v>1</v>
      </c>
      <c r="S232" s="9">
        <v>3</v>
      </c>
      <c r="T232" s="9">
        <v>3</v>
      </c>
      <c r="U232" s="9">
        <v>2</v>
      </c>
      <c r="V232" s="9" t="s">
        <v>1186</v>
      </c>
      <c r="W232" s="9">
        <v>0</v>
      </c>
      <c r="X232" s="9">
        <v>2</v>
      </c>
      <c r="Y232" s="9">
        <v>1</v>
      </c>
      <c r="Z232" s="9">
        <v>1</v>
      </c>
      <c r="AA232" s="9">
        <v>10</v>
      </c>
      <c r="AB232" s="9">
        <v>6</v>
      </c>
      <c r="AC232" s="9">
        <v>14</v>
      </c>
      <c r="AD232" s="9" t="s">
        <v>0</v>
      </c>
      <c r="AE232" s="9" t="s">
        <v>60</v>
      </c>
    </row>
    <row r="233" spans="1:31" ht="63.75" x14ac:dyDescent="0.2">
      <c r="A233" s="6" t="str">
        <f>HYPERLINK("http://www.patentics.cn/invokexml.do?sx=showpatent_cn&amp;sf=ShowPatent&amp;spn=CN101135563&amp;sx=showpatent_cn&amp;sv=0782d7a47e89673ef3a7e104e88befe1","CN101135563")</f>
        <v>CN101135563</v>
      </c>
      <c r="B233" s="7" t="s">
        <v>1187</v>
      </c>
      <c r="C233" s="7" t="s">
        <v>1188</v>
      </c>
      <c r="D233" s="7" t="s">
        <v>932</v>
      </c>
      <c r="E233" s="7" t="s">
        <v>932</v>
      </c>
      <c r="F233" s="7" t="s">
        <v>1189</v>
      </c>
      <c r="G233" s="7" t="s">
        <v>1190</v>
      </c>
      <c r="H233" s="7" t="s">
        <v>1057</v>
      </c>
      <c r="I233" s="7" t="s">
        <v>1057</v>
      </c>
      <c r="J233" s="7" t="s">
        <v>1191</v>
      </c>
      <c r="K233" s="7" t="s">
        <v>937</v>
      </c>
      <c r="L233" s="7" t="s">
        <v>1192</v>
      </c>
      <c r="M233" s="7">
        <v>5</v>
      </c>
      <c r="N233" s="7">
        <v>20</v>
      </c>
      <c r="O233" s="7" t="s">
        <v>42</v>
      </c>
      <c r="P233" s="7" t="s">
        <v>43</v>
      </c>
      <c r="Q233" s="7">
        <v>0</v>
      </c>
      <c r="R233" s="7">
        <v>0</v>
      </c>
      <c r="S233" s="7">
        <v>0</v>
      </c>
      <c r="T233" s="7">
        <v>0</v>
      </c>
      <c r="U233" s="7">
        <v>21</v>
      </c>
      <c r="V233" s="7" t="s">
        <v>1193</v>
      </c>
      <c r="W233" s="7">
        <v>2</v>
      </c>
      <c r="X233" s="7">
        <v>19</v>
      </c>
      <c r="Y233" s="7">
        <v>12</v>
      </c>
      <c r="Z233" s="7">
        <v>2</v>
      </c>
      <c r="AA233" s="7">
        <v>1</v>
      </c>
      <c r="AB233" s="7">
        <v>1</v>
      </c>
      <c r="AC233" s="7" t="s">
        <v>0</v>
      </c>
      <c r="AD233" s="7">
        <v>7</v>
      </c>
      <c r="AE233" s="7" t="s">
        <v>60</v>
      </c>
    </row>
    <row r="234" spans="1:31" ht="204" x14ac:dyDescent="0.2">
      <c r="A234" s="8" t="str">
        <f>HYPERLINK("http://www.patentics.cn/invokexml.do?sx=showpatent_cn&amp;sf=ShowPatent&amp;spn=US9021880&amp;sx=showpatent_cn&amp;sv=c42583e3bd915a7d303188d4214ec8cf","US9021880")</f>
        <v>US9021880</v>
      </c>
      <c r="B234" s="9" t="s">
        <v>1194</v>
      </c>
      <c r="C234" s="9" t="s">
        <v>1195</v>
      </c>
      <c r="D234" s="9" t="s">
        <v>617</v>
      </c>
      <c r="E234" s="9" t="s">
        <v>49</v>
      </c>
      <c r="F234" s="9" t="s">
        <v>1196</v>
      </c>
      <c r="G234" s="9" t="s">
        <v>1197</v>
      </c>
      <c r="H234" s="9" t="s">
        <v>1120</v>
      </c>
      <c r="I234" s="9" t="s">
        <v>1198</v>
      </c>
      <c r="J234" s="9" t="s">
        <v>1199</v>
      </c>
      <c r="K234" s="9" t="s">
        <v>1200</v>
      </c>
      <c r="L234" s="9" t="s">
        <v>1201</v>
      </c>
      <c r="M234" s="9">
        <v>45</v>
      </c>
      <c r="N234" s="9">
        <v>10</v>
      </c>
      <c r="O234" s="9" t="s">
        <v>57</v>
      </c>
      <c r="P234" s="9" t="s">
        <v>58</v>
      </c>
      <c r="Q234" s="9">
        <v>122</v>
      </c>
      <c r="R234" s="9">
        <v>15</v>
      </c>
      <c r="S234" s="9">
        <v>107</v>
      </c>
      <c r="T234" s="9">
        <v>59</v>
      </c>
      <c r="U234" s="9">
        <v>4</v>
      </c>
      <c r="V234" s="9" t="s">
        <v>131</v>
      </c>
      <c r="W234" s="9">
        <v>3</v>
      </c>
      <c r="X234" s="9">
        <v>1</v>
      </c>
      <c r="Y234" s="9">
        <v>2</v>
      </c>
      <c r="Z234" s="9">
        <v>1</v>
      </c>
      <c r="AA234" s="9">
        <v>61</v>
      </c>
      <c r="AB234" s="9">
        <v>7</v>
      </c>
      <c r="AC234" s="9">
        <v>14</v>
      </c>
      <c r="AD234" s="9" t="s">
        <v>0</v>
      </c>
      <c r="AE234" s="9" t="s">
        <v>60</v>
      </c>
    </row>
    <row r="235" spans="1:31" ht="102" x14ac:dyDescent="0.2">
      <c r="A235" s="8" t="str">
        <f>HYPERLINK("http://www.patentics.cn/invokexml.do?sx=showpatent_cn&amp;sf=ShowPatent&amp;spn=US9032796&amp;sx=showpatent_cn&amp;sv=87e0f24e87b333f8a65e63f68ac4647a","US9032796")</f>
        <v>US9032796</v>
      </c>
      <c r="B235" s="9" t="s">
        <v>1202</v>
      </c>
      <c r="C235" s="9" t="s">
        <v>1203</v>
      </c>
      <c r="D235" s="9" t="s">
        <v>617</v>
      </c>
      <c r="E235" s="9" t="s">
        <v>49</v>
      </c>
      <c r="F235" s="9" t="s">
        <v>1204</v>
      </c>
      <c r="G235" s="9" t="s">
        <v>1197</v>
      </c>
      <c r="H235" s="9" t="s">
        <v>1120</v>
      </c>
      <c r="I235" s="9" t="s">
        <v>1198</v>
      </c>
      <c r="J235" s="9" t="s">
        <v>176</v>
      </c>
      <c r="K235" s="9" t="s">
        <v>1200</v>
      </c>
      <c r="L235" s="9" t="s">
        <v>1201</v>
      </c>
      <c r="M235" s="9">
        <v>18</v>
      </c>
      <c r="N235" s="9">
        <v>10</v>
      </c>
      <c r="O235" s="9" t="s">
        <v>57</v>
      </c>
      <c r="P235" s="9" t="s">
        <v>58</v>
      </c>
      <c r="Q235" s="9">
        <v>123</v>
      </c>
      <c r="R235" s="9">
        <v>15</v>
      </c>
      <c r="S235" s="9">
        <v>108</v>
      </c>
      <c r="T235" s="9">
        <v>59</v>
      </c>
      <c r="U235" s="9">
        <v>5</v>
      </c>
      <c r="V235" s="9" t="s">
        <v>98</v>
      </c>
      <c r="W235" s="9">
        <v>3</v>
      </c>
      <c r="X235" s="9">
        <v>2</v>
      </c>
      <c r="Y235" s="9">
        <v>3</v>
      </c>
      <c r="Z235" s="9">
        <v>1</v>
      </c>
      <c r="AA235" s="9">
        <v>61</v>
      </c>
      <c r="AB235" s="9">
        <v>7</v>
      </c>
      <c r="AC235" s="9">
        <v>14</v>
      </c>
      <c r="AD235" s="9" t="s">
        <v>0</v>
      </c>
      <c r="AE235" s="9" t="s">
        <v>60</v>
      </c>
    </row>
    <row r="236" spans="1:31" ht="178.5" x14ac:dyDescent="0.2">
      <c r="A236" s="8" t="str">
        <f>HYPERLINK("http://www.patentics.cn/invokexml.do?sx=showpatent_cn&amp;sf=ShowPatent&amp;spn=US9410805&amp;sx=showpatent_cn&amp;sv=e945de5cbe6057cc210a113d52b7e800","US9410805")</f>
        <v>US9410805</v>
      </c>
      <c r="B236" s="9" t="s">
        <v>1205</v>
      </c>
      <c r="C236" s="9" t="s">
        <v>1206</v>
      </c>
      <c r="D236" s="9" t="s">
        <v>617</v>
      </c>
      <c r="E236" s="9" t="s">
        <v>49</v>
      </c>
      <c r="F236" s="9" t="s">
        <v>1207</v>
      </c>
      <c r="G236" s="9" t="s">
        <v>1208</v>
      </c>
      <c r="H236" s="9" t="s">
        <v>1120</v>
      </c>
      <c r="I236" s="9" t="s">
        <v>1209</v>
      </c>
      <c r="J236" s="9" t="s">
        <v>906</v>
      </c>
      <c r="K236" s="9" t="s">
        <v>937</v>
      </c>
      <c r="L236" s="9" t="s">
        <v>1210</v>
      </c>
      <c r="M236" s="9">
        <v>20</v>
      </c>
      <c r="N236" s="9">
        <v>19</v>
      </c>
      <c r="O236" s="9" t="s">
        <v>57</v>
      </c>
      <c r="P236" s="9" t="s">
        <v>58</v>
      </c>
      <c r="Q236" s="9">
        <v>132</v>
      </c>
      <c r="R236" s="9">
        <v>19</v>
      </c>
      <c r="S236" s="9">
        <v>113</v>
      </c>
      <c r="T236" s="9">
        <v>60</v>
      </c>
      <c r="U236" s="9">
        <v>1</v>
      </c>
      <c r="V236" s="9" t="s">
        <v>114</v>
      </c>
      <c r="W236" s="9">
        <v>1</v>
      </c>
      <c r="X236" s="9">
        <v>0</v>
      </c>
      <c r="Y236" s="9">
        <v>1</v>
      </c>
      <c r="Z236" s="9">
        <v>1</v>
      </c>
      <c r="AA236" s="9">
        <v>61</v>
      </c>
      <c r="AB236" s="9">
        <v>7</v>
      </c>
      <c r="AC236" s="9">
        <v>14</v>
      </c>
      <c r="AD236" s="9" t="s">
        <v>0</v>
      </c>
      <c r="AE236" s="9" t="s">
        <v>60</v>
      </c>
    </row>
    <row r="237" spans="1:31" ht="178.5" x14ac:dyDescent="0.2">
      <c r="A237" s="8" t="str">
        <f>HYPERLINK("http://www.patentics.cn/invokexml.do?sx=showpatent_cn&amp;sf=ShowPatent&amp;spn=US9459099&amp;sx=showpatent_cn&amp;sv=fe081b20d003f42b5764e7d98236145d","US9459099")</f>
        <v>US9459099</v>
      </c>
      <c r="B237" s="9" t="s">
        <v>1211</v>
      </c>
      <c r="C237" s="9" t="s">
        <v>1212</v>
      </c>
      <c r="D237" s="9" t="s">
        <v>648</v>
      </c>
      <c r="E237" s="9" t="s">
        <v>49</v>
      </c>
      <c r="F237" s="9" t="s">
        <v>1207</v>
      </c>
      <c r="G237" s="9" t="s">
        <v>1208</v>
      </c>
      <c r="H237" s="9" t="s">
        <v>1120</v>
      </c>
      <c r="I237" s="9" t="s">
        <v>1209</v>
      </c>
      <c r="J237" s="9" t="s">
        <v>283</v>
      </c>
      <c r="K237" s="9" t="s">
        <v>937</v>
      </c>
      <c r="L237" s="9" t="s">
        <v>1210</v>
      </c>
      <c r="M237" s="9">
        <v>20</v>
      </c>
      <c r="N237" s="9">
        <v>15</v>
      </c>
      <c r="O237" s="9" t="s">
        <v>57</v>
      </c>
      <c r="P237" s="9" t="s">
        <v>58</v>
      </c>
      <c r="Q237" s="9">
        <v>131</v>
      </c>
      <c r="R237" s="9">
        <v>19</v>
      </c>
      <c r="S237" s="9">
        <v>112</v>
      </c>
      <c r="T237" s="9">
        <v>60</v>
      </c>
      <c r="U237" s="9">
        <v>1</v>
      </c>
      <c r="V237" s="9" t="s">
        <v>114</v>
      </c>
      <c r="W237" s="9">
        <v>1</v>
      </c>
      <c r="X237" s="9">
        <v>0</v>
      </c>
      <c r="Y237" s="9">
        <v>1</v>
      </c>
      <c r="Z237" s="9">
        <v>1</v>
      </c>
      <c r="AA237" s="9">
        <v>61</v>
      </c>
      <c r="AB237" s="9">
        <v>7</v>
      </c>
      <c r="AC237" s="9">
        <v>14</v>
      </c>
      <c r="AD237" s="9" t="s">
        <v>0</v>
      </c>
      <c r="AE237" s="9" t="s">
        <v>60</v>
      </c>
    </row>
    <row r="238" spans="1:31" ht="178.5" x14ac:dyDescent="0.2">
      <c r="A238" s="8" t="str">
        <f>HYPERLINK("http://www.patentics.cn/invokexml.do?sx=showpatent_cn&amp;sf=ShowPatent&amp;spn=US9605965&amp;sx=showpatent_cn&amp;sv=139e7794b64a85a94e4930a8009922ff","US9605965")</f>
        <v>US9605965</v>
      </c>
      <c r="B238" s="9" t="s">
        <v>1213</v>
      </c>
      <c r="C238" s="9" t="s">
        <v>1212</v>
      </c>
      <c r="D238" s="9" t="s">
        <v>780</v>
      </c>
      <c r="E238" s="9" t="s">
        <v>49</v>
      </c>
      <c r="F238" s="9" t="s">
        <v>1207</v>
      </c>
      <c r="G238" s="9" t="s">
        <v>1208</v>
      </c>
      <c r="H238" s="9" t="s">
        <v>1120</v>
      </c>
      <c r="I238" s="9" t="s">
        <v>1214</v>
      </c>
      <c r="J238" s="9" t="s">
        <v>1215</v>
      </c>
      <c r="K238" s="9" t="s">
        <v>937</v>
      </c>
      <c r="L238" s="9" t="s">
        <v>1210</v>
      </c>
      <c r="M238" s="9">
        <v>19</v>
      </c>
      <c r="N238" s="9">
        <v>18</v>
      </c>
      <c r="O238" s="9" t="s">
        <v>57</v>
      </c>
      <c r="P238" s="9" t="s">
        <v>58</v>
      </c>
      <c r="Q238" s="9">
        <v>134</v>
      </c>
      <c r="R238" s="9">
        <v>21</v>
      </c>
      <c r="S238" s="9">
        <v>113</v>
      </c>
      <c r="T238" s="9">
        <v>60</v>
      </c>
      <c r="U238" s="9">
        <v>0</v>
      </c>
      <c r="V238" s="9" t="s">
        <v>114</v>
      </c>
      <c r="W238" s="9">
        <v>0</v>
      </c>
      <c r="X238" s="9">
        <v>0</v>
      </c>
      <c r="Y238" s="9">
        <v>0</v>
      </c>
      <c r="Z238" s="9">
        <v>0</v>
      </c>
      <c r="AA238" s="9">
        <v>61</v>
      </c>
      <c r="AB238" s="9">
        <v>7</v>
      </c>
      <c r="AC238" s="9">
        <v>14</v>
      </c>
      <c r="AD238" s="9" t="s">
        <v>0</v>
      </c>
      <c r="AE238" s="9" t="s">
        <v>60</v>
      </c>
    </row>
    <row r="239" spans="1:31" ht="76.5" x14ac:dyDescent="0.2">
      <c r="A239" s="8" t="str">
        <f>HYPERLINK("http://www.patentics.cn/invokexml.do?sx=showpatent_cn&amp;sf=ShowPatent&amp;spn=CN102959356B&amp;sx=showpatent_cn&amp;sv=ab012b03d4b42cb024273ac4b4700ab5","CN102959356B")</f>
        <v>CN102959356B</v>
      </c>
      <c r="B239" s="9" t="s">
        <v>1216</v>
      </c>
      <c r="C239" s="9" t="s">
        <v>1217</v>
      </c>
      <c r="D239" s="9" t="s">
        <v>699</v>
      </c>
      <c r="E239" s="9" t="s">
        <v>301</v>
      </c>
      <c r="F239" s="9" t="s">
        <v>1218</v>
      </c>
      <c r="G239" s="9" t="s">
        <v>1219</v>
      </c>
      <c r="H239" s="9" t="s">
        <v>1120</v>
      </c>
      <c r="I239" s="9" t="s">
        <v>856</v>
      </c>
      <c r="J239" s="9" t="s">
        <v>1220</v>
      </c>
      <c r="K239" s="9" t="s">
        <v>937</v>
      </c>
      <c r="L239" s="9" t="s">
        <v>1221</v>
      </c>
      <c r="M239" s="9">
        <v>21</v>
      </c>
      <c r="N239" s="9">
        <v>20</v>
      </c>
      <c r="O239" s="9" t="s">
        <v>57</v>
      </c>
      <c r="P239" s="9" t="s">
        <v>58</v>
      </c>
      <c r="Q239" s="9">
        <v>2</v>
      </c>
      <c r="R239" s="9">
        <v>0</v>
      </c>
      <c r="S239" s="9">
        <v>2</v>
      </c>
      <c r="T239" s="9">
        <v>2</v>
      </c>
      <c r="U239" s="9">
        <v>0</v>
      </c>
      <c r="V239" s="9" t="s">
        <v>114</v>
      </c>
      <c r="W239" s="9">
        <v>0</v>
      </c>
      <c r="X239" s="9">
        <v>0</v>
      </c>
      <c r="Y239" s="9">
        <v>0</v>
      </c>
      <c r="Z239" s="9">
        <v>0</v>
      </c>
      <c r="AA239" s="9">
        <v>61</v>
      </c>
      <c r="AB239" s="9">
        <v>7</v>
      </c>
      <c r="AC239" s="9">
        <v>14</v>
      </c>
      <c r="AD239" s="9" t="s">
        <v>0</v>
      </c>
      <c r="AE239" s="9" t="s">
        <v>60</v>
      </c>
    </row>
    <row r="240" spans="1:31" ht="76.5" x14ac:dyDescent="0.2">
      <c r="A240" s="8" t="str">
        <f>HYPERLINK("http://www.patentics.cn/invokexml.do?sx=showpatent_cn&amp;sf=ShowPatent&amp;spn=CN102959356&amp;sx=showpatent_cn&amp;sv=6288f716eeec529d1109befc5d59a07f","CN102959356")</f>
        <v>CN102959356</v>
      </c>
      <c r="B240" s="9" t="s">
        <v>1216</v>
      </c>
      <c r="C240" s="9" t="s">
        <v>1217</v>
      </c>
      <c r="D240" s="9" t="s">
        <v>699</v>
      </c>
      <c r="E240" s="9" t="s">
        <v>301</v>
      </c>
      <c r="F240" s="9" t="s">
        <v>1218</v>
      </c>
      <c r="G240" s="9" t="s">
        <v>1219</v>
      </c>
      <c r="H240" s="9" t="s">
        <v>1120</v>
      </c>
      <c r="I240" s="9" t="s">
        <v>856</v>
      </c>
      <c r="J240" s="9" t="s">
        <v>1222</v>
      </c>
      <c r="K240" s="9" t="s">
        <v>937</v>
      </c>
      <c r="L240" s="9" t="s">
        <v>1221</v>
      </c>
      <c r="M240" s="9">
        <v>25</v>
      </c>
      <c r="N240" s="9">
        <v>19</v>
      </c>
      <c r="O240" s="9" t="s">
        <v>42</v>
      </c>
      <c r="P240" s="9" t="s">
        <v>58</v>
      </c>
      <c r="Q240" s="9">
        <v>3</v>
      </c>
      <c r="R240" s="9">
        <v>0</v>
      </c>
      <c r="S240" s="9">
        <v>3</v>
      </c>
      <c r="T240" s="9">
        <v>2</v>
      </c>
      <c r="U240" s="9">
        <v>0</v>
      </c>
      <c r="V240" s="9" t="s">
        <v>114</v>
      </c>
      <c r="W240" s="9">
        <v>0</v>
      </c>
      <c r="X240" s="9">
        <v>0</v>
      </c>
      <c r="Y240" s="9">
        <v>0</v>
      </c>
      <c r="Z240" s="9">
        <v>0</v>
      </c>
      <c r="AA240" s="9">
        <v>61</v>
      </c>
      <c r="AB240" s="9">
        <v>7</v>
      </c>
      <c r="AC240" s="9">
        <v>14</v>
      </c>
      <c r="AD240" s="9" t="s">
        <v>0</v>
      </c>
      <c r="AE240" s="9" t="s">
        <v>60</v>
      </c>
    </row>
    <row r="241" spans="1:31" ht="51" x14ac:dyDescent="0.2">
      <c r="A241" s="6" t="str">
        <f>HYPERLINK("http://www.patentics.cn/invokexml.do?sx=showpatent_cn&amp;sf=ShowPatent&amp;spn=CN1948906&amp;sx=showpatent_cn&amp;sv=46f6a30c3e0b57ca47e6a704aef6a859","CN1948906")</f>
        <v>CN1948906</v>
      </c>
      <c r="B241" s="7" t="s">
        <v>1223</v>
      </c>
      <c r="C241" s="7" t="s">
        <v>1224</v>
      </c>
      <c r="D241" s="7" t="s">
        <v>1225</v>
      </c>
      <c r="E241" s="7" t="s">
        <v>1225</v>
      </c>
      <c r="F241" s="7" t="s">
        <v>1226</v>
      </c>
      <c r="G241" s="7" t="s">
        <v>1227</v>
      </c>
      <c r="H241" s="7" t="s">
        <v>1228</v>
      </c>
      <c r="I241" s="7" t="s">
        <v>1228</v>
      </c>
      <c r="J241" s="7" t="s">
        <v>1229</v>
      </c>
      <c r="K241" s="7" t="s">
        <v>937</v>
      </c>
      <c r="L241" s="7" t="s">
        <v>1192</v>
      </c>
      <c r="M241" s="7">
        <v>3</v>
      </c>
      <c r="N241" s="7">
        <v>24</v>
      </c>
      <c r="O241" s="7" t="s">
        <v>42</v>
      </c>
      <c r="P241" s="7" t="s">
        <v>43</v>
      </c>
      <c r="Q241" s="7">
        <v>0</v>
      </c>
      <c r="R241" s="7">
        <v>0</v>
      </c>
      <c r="S241" s="7">
        <v>0</v>
      </c>
      <c r="T241" s="7">
        <v>0</v>
      </c>
      <c r="U241" s="7">
        <v>39</v>
      </c>
      <c r="V241" s="7" t="s">
        <v>1230</v>
      </c>
      <c r="W241" s="7">
        <v>2</v>
      </c>
      <c r="X241" s="7">
        <v>37</v>
      </c>
      <c r="Y241" s="7">
        <v>9</v>
      </c>
      <c r="Z241" s="7">
        <v>2</v>
      </c>
      <c r="AA241" s="7">
        <v>1</v>
      </c>
      <c r="AB241" s="7">
        <v>1</v>
      </c>
      <c r="AC241" s="7" t="s">
        <v>0</v>
      </c>
      <c r="AD241" s="7">
        <v>7</v>
      </c>
      <c r="AE241" s="7" t="s">
        <v>532</v>
      </c>
    </row>
    <row r="242" spans="1:31" ht="204" x14ac:dyDescent="0.2">
      <c r="A242" s="8" t="str">
        <f>HYPERLINK("http://www.patentics.cn/invokexml.do?sx=showpatent_cn&amp;sf=ShowPatent&amp;spn=US9021880&amp;sx=showpatent_cn&amp;sv=c42583e3bd915a7d303188d4214ec8cf","US9021880")</f>
        <v>US9021880</v>
      </c>
      <c r="B242" s="9" t="s">
        <v>1194</v>
      </c>
      <c r="C242" s="9" t="s">
        <v>1195</v>
      </c>
      <c r="D242" s="9" t="s">
        <v>617</v>
      </c>
      <c r="E242" s="9" t="s">
        <v>49</v>
      </c>
      <c r="F242" s="9" t="s">
        <v>1196</v>
      </c>
      <c r="G242" s="9" t="s">
        <v>1197</v>
      </c>
      <c r="H242" s="9" t="s">
        <v>1120</v>
      </c>
      <c r="I242" s="9" t="s">
        <v>1198</v>
      </c>
      <c r="J242" s="9" t="s">
        <v>1199</v>
      </c>
      <c r="K242" s="9" t="s">
        <v>1200</v>
      </c>
      <c r="L242" s="9" t="s">
        <v>1201</v>
      </c>
      <c r="M242" s="9">
        <v>45</v>
      </c>
      <c r="N242" s="9">
        <v>10</v>
      </c>
      <c r="O242" s="9" t="s">
        <v>57</v>
      </c>
      <c r="P242" s="9" t="s">
        <v>58</v>
      </c>
      <c r="Q242" s="9">
        <v>122</v>
      </c>
      <c r="R242" s="9">
        <v>15</v>
      </c>
      <c r="S242" s="9">
        <v>107</v>
      </c>
      <c r="T242" s="9">
        <v>59</v>
      </c>
      <c r="U242" s="9">
        <v>4</v>
      </c>
      <c r="V242" s="9" t="s">
        <v>131</v>
      </c>
      <c r="W242" s="9">
        <v>3</v>
      </c>
      <c r="X242" s="9">
        <v>1</v>
      </c>
      <c r="Y242" s="9">
        <v>2</v>
      </c>
      <c r="Z242" s="9">
        <v>1</v>
      </c>
      <c r="AA242" s="9">
        <v>61</v>
      </c>
      <c r="AB242" s="9">
        <v>7</v>
      </c>
      <c r="AC242" s="9">
        <v>14</v>
      </c>
      <c r="AD242" s="9" t="s">
        <v>0</v>
      </c>
      <c r="AE242" s="9" t="s">
        <v>60</v>
      </c>
    </row>
    <row r="243" spans="1:31" ht="102" x14ac:dyDescent="0.2">
      <c r="A243" s="8" t="str">
        <f>HYPERLINK("http://www.patentics.cn/invokexml.do?sx=showpatent_cn&amp;sf=ShowPatent&amp;spn=US9032796&amp;sx=showpatent_cn&amp;sv=87e0f24e87b333f8a65e63f68ac4647a","US9032796")</f>
        <v>US9032796</v>
      </c>
      <c r="B243" s="9" t="s">
        <v>1202</v>
      </c>
      <c r="C243" s="9" t="s">
        <v>1203</v>
      </c>
      <c r="D243" s="9" t="s">
        <v>617</v>
      </c>
      <c r="E243" s="9" t="s">
        <v>49</v>
      </c>
      <c r="F243" s="9" t="s">
        <v>1204</v>
      </c>
      <c r="G243" s="9" t="s">
        <v>1197</v>
      </c>
      <c r="H243" s="9" t="s">
        <v>1120</v>
      </c>
      <c r="I243" s="9" t="s">
        <v>1198</v>
      </c>
      <c r="J243" s="9" t="s">
        <v>176</v>
      </c>
      <c r="K243" s="9" t="s">
        <v>1200</v>
      </c>
      <c r="L243" s="9" t="s">
        <v>1201</v>
      </c>
      <c r="M243" s="9">
        <v>18</v>
      </c>
      <c r="N243" s="9">
        <v>10</v>
      </c>
      <c r="O243" s="9" t="s">
        <v>57</v>
      </c>
      <c r="P243" s="9" t="s">
        <v>58</v>
      </c>
      <c r="Q243" s="9">
        <v>123</v>
      </c>
      <c r="R243" s="9">
        <v>15</v>
      </c>
      <c r="S243" s="9">
        <v>108</v>
      </c>
      <c r="T243" s="9">
        <v>59</v>
      </c>
      <c r="U243" s="9">
        <v>5</v>
      </c>
      <c r="V243" s="9" t="s">
        <v>98</v>
      </c>
      <c r="W243" s="9">
        <v>3</v>
      </c>
      <c r="X243" s="9">
        <v>2</v>
      </c>
      <c r="Y243" s="9">
        <v>3</v>
      </c>
      <c r="Z243" s="9">
        <v>1</v>
      </c>
      <c r="AA243" s="9">
        <v>61</v>
      </c>
      <c r="AB243" s="9">
        <v>7</v>
      </c>
      <c r="AC243" s="9">
        <v>14</v>
      </c>
      <c r="AD243" s="9" t="s">
        <v>0</v>
      </c>
      <c r="AE243" s="9" t="s">
        <v>60</v>
      </c>
    </row>
    <row r="244" spans="1:31" ht="178.5" x14ac:dyDescent="0.2">
      <c r="A244" s="8" t="str">
        <f>HYPERLINK("http://www.patentics.cn/invokexml.do?sx=showpatent_cn&amp;sf=ShowPatent&amp;spn=US9410805&amp;sx=showpatent_cn&amp;sv=e945de5cbe6057cc210a113d52b7e800","US9410805")</f>
        <v>US9410805</v>
      </c>
      <c r="B244" s="9" t="s">
        <v>1205</v>
      </c>
      <c r="C244" s="9" t="s">
        <v>1206</v>
      </c>
      <c r="D244" s="9" t="s">
        <v>617</v>
      </c>
      <c r="E244" s="9" t="s">
        <v>49</v>
      </c>
      <c r="F244" s="9" t="s">
        <v>1207</v>
      </c>
      <c r="G244" s="9" t="s">
        <v>1208</v>
      </c>
      <c r="H244" s="9" t="s">
        <v>1120</v>
      </c>
      <c r="I244" s="9" t="s">
        <v>1209</v>
      </c>
      <c r="J244" s="9" t="s">
        <v>906</v>
      </c>
      <c r="K244" s="9" t="s">
        <v>937</v>
      </c>
      <c r="L244" s="9" t="s">
        <v>1210</v>
      </c>
      <c r="M244" s="9">
        <v>20</v>
      </c>
      <c r="N244" s="9">
        <v>19</v>
      </c>
      <c r="O244" s="9" t="s">
        <v>57</v>
      </c>
      <c r="P244" s="9" t="s">
        <v>58</v>
      </c>
      <c r="Q244" s="9">
        <v>132</v>
      </c>
      <c r="R244" s="9">
        <v>19</v>
      </c>
      <c r="S244" s="9">
        <v>113</v>
      </c>
      <c r="T244" s="9">
        <v>60</v>
      </c>
      <c r="U244" s="9">
        <v>1</v>
      </c>
      <c r="V244" s="9" t="s">
        <v>114</v>
      </c>
      <c r="W244" s="9">
        <v>1</v>
      </c>
      <c r="X244" s="9">
        <v>0</v>
      </c>
      <c r="Y244" s="9">
        <v>1</v>
      </c>
      <c r="Z244" s="9">
        <v>1</v>
      </c>
      <c r="AA244" s="9">
        <v>61</v>
      </c>
      <c r="AB244" s="9">
        <v>7</v>
      </c>
      <c r="AC244" s="9">
        <v>14</v>
      </c>
      <c r="AD244" s="9" t="s">
        <v>0</v>
      </c>
      <c r="AE244" s="9" t="s">
        <v>60</v>
      </c>
    </row>
    <row r="245" spans="1:31" ht="178.5" x14ac:dyDescent="0.2">
      <c r="A245" s="8" t="str">
        <f>HYPERLINK("http://www.patentics.cn/invokexml.do?sx=showpatent_cn&amp;sf=ShowPatent&amp;spn=US9459099&amp;sx=showpatent_cn&amp;sv=fe081b20d003f42b5764e7d98236145d","US9459099")</f>
        <v>US9459099</v>
      </c>
      <c r="B245" s="9" t="s">
        <v>1211</v>
      </c>
      <c r="C245" s="9" t="s">
        <v>1212</v>
      </c>
      <c r="D245" s="9" t="s">
        <v>648</v>
      </c>
      <c r="E245" s="9" t="s">
        <v>49</v>
      </c>
      <c r="F245" s="9" t="s">
        <v>1207</v>
      </c>
      <c r="G245" s="9" t="s">
        <v>1208</v>
      </c>
      <c r="H245" s="9" t="s">
        <v>1120</v>
      </c>
      <c r="I245" s="9" t="s">
        <v>1209</v>
      </c>
      <c r="J245" s="9" t="s">
        <v>283</v>
      </c>
      <c r="K245" s="9" t="s">
        <v>937</v>
      </c>
      <c r="L245" s="9" t="s">
        <v>1210</v>
      </c>
      <c r="M245" s="9">
        <v>20</v>
      </c>
      <c r="N245" s="9">
        <v>15</v>
      </c>
      <c r="O245" s="9" t="s">
        <v>57</v>
      </c>
      <c r="P245" s="9" t="s">
        <v>58</v>
      </c>
      <c r="Q245" s="9">
        <v>131</v>
      </c>
      <c r="R245" s="9">
        <v>19</v>
      </c>
      <c r="S245" s="9">
        <v>112</v>
      </c>
      <c r="T245" s="9">
        <v>60</v>
      </c>
      <c r="U245" s="9">
        <v>1</v>
      </c>
      <c r="V245" s="9" t="s">
        <v>114</v>
      </c>
      <c r="W245" s="9">
        <v>1</v>
      </c>
      <c r="X245" s="9">
        <v>0</v>
      </c>
      <c r="Y245" s="9">
        <v>1</v>
      </c>
      <c r="Z245" s="9">
        <v>1</v>
      </c>
      <c r="AA245" s="9">
        <v>61</v>
      </c>
      <c r="AB245" s="9">
        <v>7</v>
      </c>
      <c r="AC245" s="9">
        <v>14</v>
      </c>
      <c r="AD245" s="9" t="s">
        <v>0</v>
      </c>
      <c r="AE245" s="9" t="s">
        <v>60</v>
      </c>
    </row>
    <row r="246" spans="1:31" ht="178.5" x14ac:dyDescent="0.2">
      <c r="A246" s="8" t="str">
        <f>HYPERLINK("http://www.patentics.cn/invokexml.do?sx=showpatent_cn&amp;sf=ShowPatent&amp;spn=US9605965&amp;sx=showpatent_cn&amp;sv=139e7794b64a85a94e4930a8009922ff","US9605965")</f>
        <v>US9605965</v>
      </c>
      <c r="B246" s="9" t="s">
        <v>1213</v>
      </c>
      <c r="C246" s="9" t="s">
        <v>1212</v>
      </c>
      <c r="D246" s="9" t="s">
        <v>780</v>
      </c>
      <c r="E246" s="9" t="s">
        <v>49</v>
      </c>
      <c r="F246" s="9" t="s">
        <v>1207</v>
      </c>
      <c r="G246" s="9" t="s">
        <v>1208</v>
      </c>
      <c r="H246" s="9" t="s">
        <v>1120</v>
      </c>
      <c r="I246" s="9" t="s">
        <v>1214</v>
      </c>
      <c r="J246" s="9" t="s">
        <v>1215</v>
      </c>
      <c r="K246" s="9" t="s">
        <v>937</v>
      </c>
      <c r="L246" s="9" t="s">
        <v>1210</v>
      </c>
      <c r="M246" s="9">
        <v>19</v>
      </c>
      <c r="N246" s="9">
        <v>18</v>
      </c>
      <c r="O246" s="9" t="s">
        <v>57</v>
      </c>
      <c r="P246" s="9" t="s">
        <v>58</v>
      </c>
      <c r="Q246" s="9">
        <v>134</v>
      </c>
      <c r="R246" s="9">
        <v>21</v>
      </c>
      <c r="S246" s="9">
        <v>113</v>
      </c>
      <c r="T246" s="9">
        <v>60</v>
      </c>
      <c r="U246" s="9">
        <v>0</v>
      </c>
      <c r="V246" s="9" t="s">
        <v>114</v>
      </c>
      <c r="W246" s="9">
        <v>0</v>
      </c>
      <c r="X246" s="9">
        <v>0</v>
      </c>
      <c r="Y246" s="9">
        <v>0</v>
      </c>
      <c r="Z246" s="9">
        <v>0</v>
      </c>
      <c r="AA246" s="9">
        <v>61</v>
      </c>
      <c r="AB246" s="9">
        <v>7</v>
      </c>
      <c r="AC246" s="9">
        <v>14</v>
      </c>
      <c r="AD246" s="9" t="s">
        <v>0</v>
      </c>
      <c r="AE246" s="9" t="s">
        <v>60</v>
      </c>
    </row>
    <row r="247" spans="1:31" ht="76.5" x14ac:dyDescent="0.2">
      <c r="A247" s="8" t="str">
        <f>HYPERLINK("http://www.patentics.cn/invokexml.do?sx=showpatent_cn&amp;sf=ShowPatent&amp;spn=CN102947675B&amp;sx=showpatent_cn&amp;sv=725be20259f4d2895a81e04a337c1f9b","CN102947675B")</f>
        <v>CN102947675B</v>
      </c>
      <c r="B247" s="9" t="s">
        <v>1231</v>
      </c>
      <c r="C247" s="9" t="s">
        <v>1232</v>
      </c>
      <c r="D247" s="9" t="s">
        <v>699</v>
      </c>
      <c r="E247" s="9" t="s">
        <v>301</v>
      </c>
      <c r="F247" s="9" t="s">
        <v>1218</v>
      </c>
      <c r="G247" s="9" t="s">
        <v>1219</v>
      </c>
      <c r="H247" s="9" t="s">
        <v>1120</v>
      </c>
      <c r="I247" s="9" t="s">
        <v>856</v>
      </c>
      <c r="J247" s="9" t="s">
        <v>1233</v>
      </c>
      <c r="K247" s="9" t="s">
        <v>937</v>
      </c>
      <c r="L247" s="9" t="s">
        <v>1221</v>
      </c>
      <c r="M247" s="9">
        <v>26</v>
      </c>
      <c r="N247" s="9">
        <v>18</v>
      </c>
      <c r="O247" s="9" t="s">
        <v>57</v>
      </c>
      <c r="P247" s="9" t="s">
        <v>58</v>
      </c>
      <c r="Q247" s="9">
        <v>2</v>
      </c>
      <c r="R247" s="9">
        <v>0</v>
      </c>
      <c r="S247" s="9">
        <v>2</v>
      </c>
      <c r="T247" s="9">
        <v>1</v>
      </c>
      <c r="U247" s="9">
        <v>0</v>
      </c>
      <c r="V247" s="9" t="s">
        <v>114</v>
      </c>
      <c r="W247" s="9">
        <v>0</v>
      </c>
      <c r="X247" s="9">
        <v>0</v>
      </c>
      <c r="Y247" s="9">
        <v>0</v>
      </c>
      <c r="Z247" s="9">
        <v>0</v>
      </c>
      <c r="AA247" s="9">
        <v>61</v>
      </c>
      <c r="AB247" s="9">
        <v>7</v>
      </c>
      <c r="AC247" s="9">
        <v>14</v>
      </c>
      <c r="AD247" s="9" t="s">
        <v>0</v>
      </c>
      <c r="AE247" s="9" t="s">
        <v>60</v>
      </c>
    </row>
    <row r="248" spans="1:31" ht="76.5" x14ac:dyDescent="0.2">
      <c r="A248" s="8" t="str">
        <f>HYPERLINK("http://www.patentics.cn/invokexml.do?sx=showpatent_cn&amp;sf=ShowPatent&amp;spn=CN102947675&amp;sx=showpatent_cn&amp;sv=5b3bf09521f4db9bf8a31ac2160ddd1b","CN102947675")</f>
        <v>CN102947675</v>
      </c>
      <c r="B248" s="9" t="s">
        <v>1231</v>
      </c>
      <c r="C248" s="9" t="s">
        <v>1232</v>
      </c>
      <c r="D248" s="9" t="s">
        <v>699</v>
      </c>
      <c r="E248" s="9" t="s">
        <v>301</v>
      </c>
      <c r="F248" s="9" t="s">
        <v>1218</v>
      </c>
      <c r="G248" s="9" t="s">
        <v>1219</v>
      </c>
      <c r="H248" s="9" t="s">
        <v>1120</v>
      </c>
      <c r="I248" s="9" t="s">
        <v>856</v>
      </c>
      <c r="J248" s="9" t="s">
        <v>1234</v>
      </c>
      <c r="K248" s="9" t="s">
        <v>937</v>
      </c>
      <c r="L248" s="9" t="s">
        <v>1235</v>
      </c>
      <c r="M248" s="9">
        <v>26</v>
      </c>
      <c r="N248" s="9">
        <v>16</v>
      </c>
      <c r="O248" s="9" t="s">
        <v>42</v>
      </c>
      <c r="P248" s="9" t="s">
        <v>58</v>
      </c>
      <c r="Q248" s="9">
        <v>4</v>
      </c>
      <c r="R248" s="9">
        <v>0</v>
      </c>
      <c r="S248" s="9">
        <v>4</v>
      </c>
      <c r="T248" s="9">
        <v>2</v>
      </c>
      <c r="U248" s="9">
        <v>1</v>
      </c>
      <c r="V248" s="9" t="s">
        <v>1236</v>
      </c>
      <c r="W248" s="9">
        <v>0</v>
      </c>
      <c r="X248" s="9">
        <v>1</v>
      </c>
      <c r="Y248" s="9">
        <v>1</v>
      </c>
      <c r="Z248" s="9">
        <v>1</v>
      </c>
      <c r="AA248" s="9">
        <v>61</v>
      </c>
      <c r="AB248" s="9">
        <v>7</v>
      </c>
      <c r="AC248" s="9">
        <v>14</v>
      </c>
      <c r="AD248" s="9" t="s">
        <v>0</v>
      </c>
      <c r="AE248" s="9" t="s">
        <v>60</v>
      </c>
    </row>
    <row r="249" spans="1:31" ht="63.75" x14ac:dyDescent="0.2">
      <c r="A249" s="6" t="str">
        <f>HYPERLINK("http://www.patentics.cn/invokexml.do?sx=showpatent_cn&amp;sf=ShowPatent&amp;spn=CN1766528&amp;sx=showpatent_cn&amp;sv=25ab92ad2e0697748b568d64493736c0","CN1766528")</f>
        <v>CN1766528</v>
      </c>
      <c r="B249" s="7" t="s">
        <v>1237</v>
      </c>
      <c r="C249" s="7" t="s">
        <v>1238</v>
      </c>
      <c r="D249" s="7" t="s">
        <v>1239</v>
      </c>
      <c r="E249" s="7" t="s">
        <v>1239</v>
      </c>
      <c r="F249" s="7" t="s">
        <v>1240</v>
      </c>
      <c r="G249" s="7" t="s">
        <v>1241</v>
      </c>
      <c r="H249" s="7" t="s">
        <v>1242</v>
      </c>
      <c r="I249" s="7" t="s">
        <v>1242</v>
      </c>
      <c r="J249" s="7" t="s">
        <v>1243</v>
      </c>
      <c r="K249" s="7" t="s">
        <v>937</v>
      </c>
      <c r="L249" s="7" t="s">
        <v>1192</v>
      </c>
      <c r="M249" s="7">
        <v>5</v>
      </c>
      <c r="N249" s="7">
        <v>32</v>
      </c>
      <c r="O249" s="7" t="s">
        <v>42</v>
      </c>
      <c r="P249" s="7" t="s">
        <v>43</v>
      </c>
      <c r="Q249" s="7">
        <v>1</v>
      </c>
      <c r="R249" s="7">
        <v>0</v>
      </c>
      <c r="S249" s="7">
        <v>1</v>
      </c>
      <c r="T249" s="7">
        <v>1</v>
      </c>
      <c r="U249" s="7">
        <v>22</v>
      </c>
      <c r="V249" s="7" t="s">
        <v>1244</v>
      </c>
      <c r="W249" s="7">
        <v>1</v>
      </c>
      <c r="X249" s="7">
        <v>21</v>
      </c>
      <c r="Y249" s="7">
        <v>11</v>
      </c>
      <c r="Z249" s="7">
        <v>2</v>
      </c>
      <c r="AA249" s="7">
        <v>1</v>
      </c>
      <c r="AB249" s="7">
        <v>1</v>
      </c>
      <c r="AC249" s="7" t="s">
        <v>0</v>
      </c>
      <c r="AD249" s="7">
        <v>7</v>
      </c>
      <c r="AE249" s="7" t="s">
        <v>532</v>
      </c>
    </row>
    <row r="250" spans="1:31" ht="204" x14ac:dyDescent="0.2">
      <c r="A250" s="8" t="str">
        <f>HYPERLINK("http://www.patentics.cn/invokexml.do?sx=showpatent_cn&amp;sf=ShowPatent&amp;spn=US9021880&amp;sx=showpatent_cn&amp;sv=c42583e3bd915a7d303188d4214ec8cf","US9021880")</f>
        <v>US9021880</v>
      </c>
      <c r="B250" s="9" t="s">
        <v>1194</v>
      </c>
      <c r="C250" s="9" t="s">
        <v>1195</v>
      </c>
      <c r="D250" s="9" t="s">
        <v>617</v>
      </c>
      <c r="E250" s="9" t="s">
        <v>49</v>
      </c>
      <c r="F250" s="9" t="s">
        <v>1196</v>
      </c>
      <c r="G250" s="9" t="s">
        <v>1197</v>
      </c>
      <c r="H250" s="9" t="s">
        <v>1120</v>
      </c>
      <c r="I250" s="9" t="s">
        <v>1198</v>
      </c>
      <c r="J250" s="9" t="s">
        <v>1199</v>
      </c>
      <c r="K250" s="9" t="s">
        <v>1200</v>
      </c>
      <c r="L250" s="9" t="s">
        <v>1201</v>
      </c>
      <c r="M250" s="9">
        <v>45</v>
      </c>
      <c r="N250" s="9">
        <v>10</v>
      </c>
      <c r="O250" s="9" t="s">
        <v>57</v>
      </c>
      <c r="P250" s="9" t="s">
        <v>58</v>
      </c>
      <c r="Q250" s="9">
        <v>122</v>
      </c>
      <c r="R250" s="9">
        <v>15</v>
      </c>
      <c r="S250" s="9">
        <v>107</v>
      </c>
      <c r="T250" s="9">
        <v>59</v>
      </c>
      <c r="U250" s="9">
        <v>4</v>
      </c>
      <c r="V250" s="9" t="s">
        <v>131</v>
      </c>
      <c r="W250" s="9">
        <v>3</v>
      </c>
      <c r="X250" s="9">
        <v>1</v>
      </c>
      <c r="Y250" s="9">
        <v>2</v>
      </c>
      <c r="Z250" s="9">
        <v>1</v>
      </c>
      <c r="AA250" s="9">
        <v>61</v>
      </c>
      <c r="AB250" s="9">
        <v>7</v>
      </c>
      <c r="AC250" s="9">
        <v>14</v>
      </c>
      <c r="AD250" s="9" t="s">
        <v>0</v>
      </c>
      <c r="AE250" s="9" t="s">
        <v>60</v>
      </c>
    </row>
    <row r="251" spans="1:31" ht="102" x14ac:dyDescent="0.2">
      <c r="A251" s="8" t="str">
        <f>HYPERLINK("http://www.patentics.cn/invokexml.do?sx=showpatent_cn&amp;sf=ShowPatent&amp;spn=US9032796&amp;sx=showpatent_cn&amp;sv=87e0f24e87b333f8a65e63f68ac4647a","US9032796")</f>
        <v>US9032796</v>
      </c>
      <c r="B251" s="9" t="s">
        <v>1202</v>
      </c>
      <c r="C251" s="9" t="s">
        <v>1203</v>
      </c>
      <c r="D251" s="9" t="s">
        <v>617</v>
      </c>
      <c r="E251" s="9" t="s">
        <v>49</v>
      </c>
      <c r="F251" s="9" t="s">
        <v>1204</v>
      </c>
      <c r="G251" s="9" t="s">
        <v>1197</v>
      </c>
      <c r="H251" s="9" t="s">
        <v>1120</v>
      </c>
      <c r="I251" s="9" t="s">
        <v>1198</v>
      </c>
      <c r="J251" s="9" t="s">
        <v>176</v>
      </c>
      <c r="K251" s="9" t="s">
        <v>1200</v>
      </c>
      <c r="L251" s="9" t="s">
        <v>1201</v>
      </c>
      <c r="M251" s="9">
        <v>18</v>
      </c>
      <c r="N251" s="9">
        <v>10</v>
      </c>
      <c r="O251" s="9" t="s">
        <v>57</v>
      </c>
      <c r="P251" s="9" t="s">
        <v>58</v>
      </c>
      <c r="Q251" s="9">
        <v>123</v>
      </c>
      <c r="R251" s="9">
        <v>15</v>
      </c>
      <c r="S251" s="9">
        <v>108</v>
      </c>
      <c r="T251" s="9">
        <v>59</v>
      </c>
      <c r="U251" s="9">
        <v>5</v>
      </c>
      <c r="V251" s="9" t="s">
        <v>98</v>
      </c>
      <c r="W251" s="9">
        <v>3</v>
      </c>
      <c r="X251" s="9">
        <v>2</v>
      </c>
      <c r="Y251" s="9">
        <v>3</v>
      </c>
      <c r="Z251" s="9">
        <v>1</v>
      </c>
      <c r="AA251" s="9">
        <v>61</v>
      </c>
      <c r="AB251" s="9">
        <v>7</v>
      </c>
      <c r="AC251" s="9">
        <v>14</v>
      </c>
      <c r="AD251" s="9" t="s">
        <v>0</v>
      </c>
      <c r="AE251" s="9" t="s">
        <v>60</v>
      </c>
    </row>
    <row r="252" spans="1:31" ht="178.5" x14ac:dyDescent="0.2">
      <c r="A252" s="8" t="str">
        <f>HYPERLINK("http://www.patentics.cn/invokexml.do?sx=showpatent_cn&amp;sf=ShowPatent&amp;spn=US9410805&amp;sx=showpatent_cn&amp;sv=e945de5cbe6057cc210a113d52b7e800","US9410805")</f>
        <v>US9410805</v>
      </c>
      <c r="B252" s="9" t="s">
        <v>1205</v>
      </c>
      <c r="C252" s="9" t="s">
        <v>1206</v>
      </c>
      <c r="D252" s="9" t="s">
        <v>617</v>
      </c>
      <c r="E252" s="9" t="s">
        <v>49</v>
      </c>
      <c r="F252" s="9" t="s">
        <v>1207</v>
      </c>
      <c r="G252" s="9" t="s">
        <v>1208</v>
      </c>
      <c r="H252" s="9" t="s">
        <v>1120</v>
      </c>
      <c r="I252" s="9" t="s">
        <v>1209</v>
      </c>
      <c r="J252" s="9" t="s">
        <v>906</v>
      </c>
      <c r="K252" s="9" t="s">
        <v>937</v>
      </c>
      <c r="L252" s="9" t="s">
        <v>1210</v>
      </c>
      <c r="M252" s="9">
        <v>20</v>
      </c>
      <c r="N252" s="9">
        <v>19</v>
      </c>
      <c r="O252" s="9" t="s">
        <v>57</v>
      </c>
      <c r="P252" s="9" t="s">
        <v>58</v>
      </c>
      <c r="Q252" s="9">
        <v>132</v>
      </c>
      <c r="R252" s="9">
        <v>19</v>
      </c>
      <c r="S252" s="9">
        <v>113</v>
      </c>
      <c r="T252" s="9">
        <v>60</v>
      </c>
      <c r="U252" s="9">
        <v>1</v>
      </c>
      <c r="V252" s="9" t="s">
        <v>114</v>
      </c>
      <c r="W252" s="9">
        <v>1</v>
      </c>
      <c r="X252" s="9">
        <v>0</v>
      </c>
      <c r="Y252" s="9">
        <v>1</v>
      </c>
      <c r="Z252" s="9">
        <v>1</v>
      </c>
      <c r="AA252" s="9">
        <v>61</v>
      </c>
      <c r="AB252" s="9">
        <v>7</v>
      </c>
      <c r="AC252" s="9">
        <v>14</v>
      </c>
      <c r="AD252" s="9" t="s">
        <v>0</v>
      </c>
      <c r="AE252" s="9" t="s">
        <v>60</v>
      </c>
    </row>
    <row r="253" spans="1:31" ht="178.5" x14ac:dyDescent="0.2">
      <c r="A253" s="8" t="str">
        <f>HYPERLINK("http://www.patentics.cn/invokexml.do?sx=showpatent_cn&amp;sf=ShowPatent&amp;spn=US9459099&amp;sx=showpatent_cn&amp;sv=fe081b20d003f42b5764e7d98236145d","US9459099")</f>
        <v>US9459099</v>
      </c>
      <c r="B253" s="9" t="s">
        <v>1211</v>
      </c>
      <c r="C253" s="9" t="s">
        <v>1212</v>
      </c>
      <c r="D253" s="9" t="s">
        <v>648</v>
      </c>
      <c r="E253" s="9" t="s">
        <v>49</v>
      </c>
      <c r="F253" s="9" t="s">
        <v>1207</v>
      </c>
      <c r="G253" s="9" t="s">
        <v>1208</v>
      </c>
      <c r="H253" s="9" t="s">
        <v>1120</v>
      </c>
      <c r="I253" s="9" t="s">
        <v>1209</v>
      </c>
      <c r="J253" s="9" t="s">
        <v>283</v>
      </c>
      <c r="K253" s="9" t="s">
        <v>937</v>
      </c>
      <c r="L253" s="9" t="s">
        <v>1210</v>
      </c>
      <c r="M253" s="9">
        <v>20</v>
      </c>
      <c r="N253" s="9">
        <v>15</v>
      </c>
      <c r="O253" s="9" t="s">
        <v>57</v>
      </c>
      <c r="P253" s="9" t="s">
        <v>58</v>
      </c>
      <c r="Q253" s="9">
        <v>131</v>
      </c>
      <c r="R253" s="9">
        <v>19</v>
      </c>
      <c r="S253" s="9">
        <v>112</v>
      </c>
      <c r="T253" s="9">
        <v>60</v>
      </c>
      <c r="U253" s="9">
        <v>1</v>
      </c>
      <c r="V253" s="9" t="s">
        <v>114</v>
      </c>
      <c r="W253" s="9">
        <v>1</v>
      </c>
      <c r="X253" s="9">
        <v>0</v>
      </c>
      <c r="Y253" s="9">
        <v>1</v>
      </c>
      <c r="Z253" s="9">
        <v>1</v>
      </c>
      <c r="AA253" s="9">
        <v>61</v>
      </c>
      <c r="AB253" s="9">
        <v>7</v>
      </c>
      <c r="AC253" s="9">
        <v>14</v>
      </c>
      <c r="AD253" s="9" t="s">
        <v>0</v>
      </c>
      <c r="AE253" s="9" t="s">
        <v>60</v>
      </c>
    </row>
    <row r="254" spans="1:31" ht="178.5" x14ac:dyDescent="0.2">
      <c r="A254" s="8" t="str">
        <f>HYPERLINK("http://www.patentics.cn/invokexml.do?sx=showpatent_cn&amp;sf=ShowPatent&amp;spn=US9605965&amp;sx=showpatent_cn&amp;sv=139e7794b64a85a94e4930a8009922ff","US9605965")</f>
        <v>US9605965</v>
      </c>
      <c r="B254" s="9" t="s">
        <v>1213</v>
      </c>
      <c r="C254" s="9" t="s">
        <v>1212</v>
      </c>
      <c r="D254" s="9" t="s">
        <v>780</v>
      </c>
      <c r="E254" s="9" t="s">
        <v>49</v>
      </c>
      <c r="F254" s="9" t="s">
        <v>1207</v>
      </c>
      <c r="G254" s="9" t="s">
        <v>1208</v>
      </c>
      <c r="H254" s="9" t="s">
        <v>1120</v>
      </c>
      <c r="I254" s="9" t="s">
        <v>1214</v>
      </c>
      <c r="J254" s="9" t="s">
        <v>1215</v>
      </c>
      <c r="K254" s="9" t="s">
        <v>937</v>
      </c>
      <c r="L254" s="9" t="s">
        <v>1210</v>
      </c>
      <c r="M254" s="9">
        <v>19</v>
      </c>
      <c r="N254" s="9">
        <v>18</v>
      </c>
      <c r="O254" s="9" t="s">
        <v>57</v>
      </c>
      <c r="P254" s="9" t="s">
        <v>58</v>
      </c>
      <c r="Q254" s="9">
        <v>134</v>
      </c>
      <c r="R254" s="9">
        <v>21</v>
      </c>
      <c r="S254" s="9">
        <v>113</v>
      </c>
      <c r="T254" s="9">
        <v>60</v>
      </c>
      <c r="U254" s="9">
        <v>0</v>
      </c>
      <c r="V254" s="9" t="s">
        <v>114</v>
      </c>
      <c r="W254" s="9">
        <v>0</v>
      </c>
      <c r="X254" s="9">
        <v>0</v>
      </c>
      <c r="Y254" s="9">
        <v>0</v>
      </c>
      <c r="Z254" s="9">
        <v>0</v>
      </c>
      <c r="AA254" s="9">
        <v>61</v>
      </c>
      <c r="AB254" s="9">
        <v>7</v>
      </c>
      <c r="AC254" s="9">
        <v>14</v>
      </c>
      <c r="AD254" s="9" t="s">
        <v>0</v>
      </c>
      <c r="AE254" s="9" t="s">
        <v>60</v>
      </c>
    </row>
    <row r="255" spans="1:31" ht="76.5" x14ac:dyDescent="0.2">
      <c r="A255" s="8" t="str">
        <f>HYPERLINK("http://www.patentics.cn/invokexml.do?sx=showpatent_cn&amp;sf=ShowPatent&amp;spn=CN102959356B&amp;sx=showpatent_cn&amp;sv=ab012b03d4b42cb024273ac4b4700ab5","CN102959356B")</f>
        <v>CN102959356B</v>
      </c>
      <c r="B255" s="9" t="s">
        <v>1216</v>
      </c>
      <c r="C255" s="9" t="s">
        <v>1217</v>
      </c>
      <c r="D255" s="9" t="s">
        <v>699</v>
      </c>
      <c r="E255" s="9" t="s">
        <v>301</v>
      </c>
      <c r="F255" s="9" t="s">
        <v>1218</v>
      </c>
      <c r="G255" s="9" t="s">
        <v>1219</v>
      </c>
      <c r="H255" s="9" t="s">
        <v>1120</v>
      </c>
      <c r="I255" s="9" t="s">
        <v>856</v>
      </c>
      <c r="J255" s="9" t="s">
        <v>1220</v>
      </c>
      <c r="K255" s="9" t="s">
        <v>937</v>
      </c>
      <c r="L255" s="9" t="s">
        <v>1221</v>
      </c>
      <c r="M255" s="9">
        <v>21</v>
      </c>
      <c r="N255" s="9">
        <v>20</v>
      </c>
      <c r="O255" s="9" t="s">
        <v>57</v>
      </c>
      <c r="P255" s="9" t="s">
        <v>58</v>
      </c>
      <c r="Q255" s="9">
        <v>2</v>
      </c>
      <c r="R255" s="9">
        <v>0</v>
      </c>
      <c r="S255" s="9">
        <v>2</v>
      </c>
      <c r="T255" s="9">
        <v>2</v>
      </c>
      <c r="U255" s="9">
        <v>0</v>
      </c>
      <c r="V255" s="9" t="s">
        <v>114</v>
      </c>
      <c r="W255" s="9">
        <v>0</v>
      </c>
      <c r="X255" s="9">
        <v>0</v>
      </c>
      <c r="Y255" s="9">
        <v>0</v>
      </c>
      <c r="Z255" s="9">
        <v>0</v>
      </c>
      <c r="AA255" s="9">
        <v>61</v>
      </c>
      <c r="AB255" s="9">
        <v>7</v>
      </c>
      <c r="AC255" s="9">
        <v>14</v>
      </c>
      <c r="AD255" s="9" t="s">
        <v>0</v>
      </c>
      <c r="AE255" s="9" t="s">
        <v>60</v>
      </c>
    </row>
    <row r="256" spans="1:31" ht="76.5" x14ac:dyDescent="0.2">
      <c r="A256" s="8" t="str">
        <f>HYPERLINK("http://www.patentics.cn/invokexml.do?sx=showpatent_cn&amp;sf=ShowPatent&amp;spn=CN102959356&amp;sx=showpatent_cn&amp;sv=6288f716eeec529d1109befc5d59a07f","CN102959356")</f>
        <v>CN102959356</v>
      </c>
      <c r="B256" s="9" t="s">
        <v>1216</v>
      </c>
      <c r="C256" s="9" t="s">
        <v>1217</v>
      </c>
      <c r="D256" s="9" t="s">
        <v>699</v>
      </c>
      <c r="E256" s="9" t="s">
        <v>301</v>
      </c>
      <c r="F256" s="9" t="s">
        <v>1218</v>
      </c>
      <c r="G256" s="9" t="s">
        <v>1219</v>
      </c>
      <c r="H256" s="9" t="s">
        <v>1120</v>
      </c>
      <c r="I256" s="9" t="s">
        <v>856</v>
      </c>
      <c r="J256" s="9" t="s">
        <v>1222</v>
      </c>
      <c r="K256" s="9" t="s">
        <v>937</v>
      </c>
      <c r="L256" s="9" t="s">
        <v>1221</v>
      </c>
      <c r="M256" s="9">
        <v>25</v>
      </c>
      <c r="N256" s="9">
        <v>19</v>
      </c>
      <c r="O256" s="9" t="s">
        <v>42</v>
      </c>
      <c r="P256" s="9" t="s">
        <v>58</v>
      </c>
      <c r="Q256" s="9">
        <v>3</v>
      </c>
      <c r="R256" s="9">
        <v>0</v>
      </c>
      <c r="S256" s="9">
        <v>3</v>
      </c>
      <c r="T256" s="9">
        <v>2</v>
      </c>
      <c r="U256" s="9">
        <v>0</v>
      </c>
      <c r="V256" s="9" t="s">
        <v>114</v>
      </c>
      <c r="W256" s="9">
        <v>0</v>
      </c>
      <c r="X256" s="9">
        <v>0</v>
      </c>
      <c r="Y256" s="9">
        <v>0</v>
      </c>
      <c r="Z256" s="9">
        <v>0</v>
      </c>
      <c r="AA256" s="9">
        <v>61</v>
      </c>
      <c r="AB256" s="9">
        <v>7</v>
      </c>
      <c r="AC256" s="9">
        <v>14</v>
      </c>
      <c r="AD256" s="9" t="s">
        <v>0</v>
      </c>
      <c r="AE256" s="9" t="s">
        <v>60</v>
      </c>
    </row>
    <row r="257" spans="1:31" ht="38.25" x14ac:dyDescent="0.2">
      <c r="A257" s="6" t="str">
        <f>HYPERLINK("http://www.patentics.cn/invokexml.do?sx=showpatent_cn&amp;sf=ShowPatent&amp;spn=CN1568043&amp;sx=showpatent_cn&amp;sv=3b6cff6012709632b4b680e8726fcfef","CN1568043")</f>
        <v>CN1568043</v>
      </c>
      <c r="B257" s="7" t="s">
        <v>1245</v>
      </c>
      <c r="C257" s="7" t="s">
        <v>1246</v>
      </c>
      <c r="D257" s="7" t="s">
        <v>1247</v>
      </c>
      <c r="E257" s="7" t="s">
        <v>1248</v>
      </c>
      <c r="F257" s="7" t="s">
        <v>1249</v>
      </c>
      <c r="G257" s="7" t="s">
        <v>1250</v>
      </c>
      <c r="H257" s="7" t="s">
        <v>1251</v>
      </c>
      <c r="I257" s="7" t="s">
        <v>1251</v>
      </c>
      <c r="J257" s="7" t="s">
        <v>1252</v>
      </c>
      <c r="K257" s="7" t="s">
        <v>96</v>
      </c>
      <c r="L257" s="7" t="s">
        <v>1253</v>
      </c>
      <c r="M257" s="7">
        <v>9</v>
      </c>
      <c r="N257" s="7">
        <v>22</v>
      </c>
      <c r="O257" s="7" t="s">
        <v>42</v>
      </c>
      <c r="P257" s="7" t="s">
        <v>43</v>
      </c>
      <c r="Q257" s="7">
        <v>0</v>
      </c>
      <c r="R257" s="7">
        <v>0</v>
      </c>
      <c r="S257" s="7">
        <v>0</v>
      </c>
      <c r="T257" s="7">
        <v>0</v>
      </c>
      <c r="U257" s="7">
        <v>20</v>
      </c>
      <c r="V257" s="7" t="s">
        <v>1254</v>
      </c>
      <c r="W257" s="7">
        <v>0</v>
      </c>
      <c r="X257" s="7">
        <v>20</v>
      </c>
      <c r="Y257" s="7">
        <v>10</v>
      </c>
      <c r="Z257" s="7">
        <v>3</v>
      </c>
      <c r="AA257" s="7">
        <v>4</v>
      </c>
      <c r="AB257" s="7">
        <v>3</v>
      </c>
      <c r="AC257" s="7" t="s">
        <v>0</v>
      </c>
      <c r="AD257" s="7">
        <v>7</v>
      </c>
      <c r="AE257" s="7" t="s">
        <v>532</v>
      </c>
    </row>
    <row r="258" spans="1:31" ht="114.75" x14ac:dyDescent="0.2">
      <c r="A258" s="8" t="str">
        <f>HYPERLINK("http://www.patentics.cn/invokexml.do?sx=showpatent_cn&amp;sf=ShowPatent&amp;spn=US8743858&amp;sx=showpatent_cn&amp;sv=a3ae0811b1281fca33560f99172ff88d","US8743858")</f>
        <v>US8743858</v>
      </c>
      <c r="B258" s="9" t="s">
        <v>1255</v>
      </c>
      <c r="C258" s="9" t="s">
        <v>1256</v>
      </c>
      <c r="D258" s="9" t="s">
        <v>48</v>
      </c>
      <c r="E258" s="9" t="s">
        <v>49</v>
      </c>
      <c r="F258" s="9" t="s">
        <v>1257</v>
      </c>
      <c r="G258" s="9" t="s">
        <v>1258</v>
      </c>
      <c r="H258" s="9" t="s">
        <v>1259</v>
      </c>
      <c r="I258" s="9" t="s">
        <v>1260</v>
      </c>
      <c r="J258" s="9" t="s">
        <v>1261</v>
      </c>
      <c r="K258" s="9" t="s">
        <v>40</v>
      </c>
      <c r="L258" s="9" t="s">
        <v>1262</v>
      </c>
      <c r="M258" s="9">
        <v>31</v>
      </c>
      <c r="N258" s="9">
        <v>10</v>
      </c>
      <c r="O258" s="9" t="s">
        <v>57</v>
      </c>
      <c r="P258" s="9" t="s">
        <v>58</v>
      </c>
      <c r="Q258" s="9">
        <v>113</v>
      </c>
      <c r="R258" s="9">
        <v>13</v>
      </c>
      <c r="S258" s="9">
        <v>100</v>
      </c>
      <c r="T258" s="9">
        <v>37</v>
      </c>
      <c r="U258" s="9">
        <v>26</v>
      </c>
      <c r="V258" s="9" t="s">
        <v>384</v>
      </c>
      <c r="W258" s="9">
        <v>1</v>
      </c>
      <c r="X258" s="9">
        <v>25</v>
      </c>
      <c r="Y258" s="9">
        <v>2</v>
      </c>
      <c r="Z258" s="9">
        <v>2</v>
      </c>
      <c r="AA258" s="9">
        <v>31</v>
      </c>
      <c r="AB258" s="9">
        <v>13</v>
      </c>
      <c r="AC258" s="9">
        <v>14</v>
      </c>
      <c r="AD258" s="9" t="s">
        <v>0</v>
      </c>
      <c r="AE258" s="9" t="s">
        <v>60</v>
      </c>
    </row>
    <row r="259" spans="1:31" ht="114.75" x14ac:dyDescent="0.2">
      <c r="A259" s="8" t="str">
        <f>HYPERLINK("http://www.patentics.cn/invokexml.do?sx=showpatent_cn&amp;sf=ShowPatent&amp;spn=US8989138&amp;sx=showpatent_cn&amp;sv=86efe3569e289601dc5885c371c97587","US8989138")</f>
        <v>US8989138</v>
      </c>
      <c r="B259" s="9" t="s">
        <v>1263</v>
      </c>
      <c r="C259" s="9" t="s">
        <v>1264</v>
      </c>
      <c r="D259" s="9" t="s">
        <v>48</v>
      </c>
      <c r="E259" s="9" t="s">
        <v>49</v>
      </c>
      <c r="F259" s="9" t="s">
        <v>1257</v>
      </c>
      <c r="G259" s="9" t="s">
        <v>1258</v>
      </c>
      <c r="H259" s="9" t="s">
        <v>1259</v>
      </c>
      <c r="I259" s="9" t="s">
        <v>1260</v>
      </c>
      <c r="J259" s="9" t="s">
        <v>1265</v>
      </c>
      <c r="K259" s="9" t="s">
        <v>55</v>
      </c>
      <c r="L259" s="9" t="s">
        <v>150</v>
      </c>
      <c r="M259" s="9">
        <v>52</v>
      </c>
      <c r="N259" s="9">
        <v>8</v>
      </c>
      <c r="O259" s="9" t="s">
        <v>57</v>
      </c>
      <c r="P259" s="9" t="s">
        <v>58</v>
      </c>
      <c r="Q259" s="9">
        <v>126</v>
      </c>
      <c r="R259" s="9">
        <v>14</v>
      </c>
      <c r="S259" s="9">
        <v>112</v>
      </c>
      <c r="T259" s="9">
        <v>41</v>
      </c>
      <c r="U259" s="9">
        <v>24</v>
      </c>
      <c r="V259" s="9" t="s">
        <v>114</v>
      </c>
      <c r="W259" s="9">
        <v>0</v>
      </c>
      <c r="X259" s="9">
        <v>24</v>
      </c>
      <c r="Y259" s="9">
        <v>0</v>
      </c>
      <c r="Z259" s="9">
        <v>1</v>
      </c>
      <c r="AA259" s="9">
        <v>31</v>
      </c>
      <c r="AB259" s="9">
        <v>13</v>
      </c>
      <c r="AC259" s="9">
        <v>14</v>
      </c>
      <c r="AD259" s="9" t="s">
        <v>0</v>
      </c>
      <c r="AE259" s="9" t="s">
        <v>60</v>
      </c>
    </row>
    <row r="260" spans="1:31" ht="140.25" x14ac:dyDescent="0.2">
      <c r="A260" s="8" t="str">
        <f>HYPERLINK("http://www.patentics.cn/invokexml.do?sx=showpatent_cn&amp;sf=ShowPatent&amp;spn=US9094880&amp;sx=showpatent_cn&amp;sv=3d5f82c71ccdcbdff7cbea914f2ec938","US9094880")</f>
        <v>US9094880</v>
      </c>
      <c r="B260" s="9" t="s">
        <v>1266</v>
      </c>
      <c r="C260" s="9" t="s">
        <v>1267</v>
      </c>
      <c r="D260" s="9" t="s">
        <v>48</v>
      </c>
      <c r="E260" s="9" t="s">
        <v>49</v>
      </c>
      <c r="F260" s="9" t="s">
        <v>1268</v>
      </c>
      <c r="G260" s="9" t="s">
        <v>1269</v>
      </c>
      <c r="H260" s="9" t="s">
        <v>1270</v>
      </c>
      <c r="I260" s="9" t="s">
        <v>1271</v>
      </c>
      <c r="J260" s="9" t="s">
        <v>868</v>
      </c>
      <c r="K260" s="9" t="s">
        <v>55</v>
      </c>
      <c r="L260" s="9" t="s">
        <v>150</v>
      </c>
      <c r="M260" s="9">
        <v>43</v>
      </c>
      <c r="N260" s="9">
        <v>12</v>
      </c>
      <c r="O260" s="9" t="s">
        <v>57</v>
      </c>
      <c r="P260" s="9" t="s">
        <v>58</v>
      </c>
      <c r="Q260" s="9">
        <v>125</v>
      </c>
      <c r="R260" s="9">
        <v>14</v>
      </c>
      <c r="S260" s="9">
        <v>111</v>
      </c>
      <c r="T260" s="9">
        <v>40</v>
      </c>
      <c r="U260" s="9">
        <v>36</v>
      </c>
      <c r="V260" s="9" t="s">
        <v>1272</v>
      </c>
      <c r="W260" s="9">
        <v>2</v>
      </c>
      <c r="X260" s="9">
        <v>34</v>
      </c>
      <c r="Y260" s="9">
        <v>2</v>
      </c>
      <c r="Z260" s="9">
        <v>2</v>
      </c>
      <c r="AA260" s="9">
        <v>48</v>
      </c>
      <c r="AB260" s="9">
        <v>15</v>
      </c>
      <c r="AC260" s="9">
        <v>14</v>
      </c>
      <c r="AD260" s="9" t="s">
        <v>0</v>
      </c>
      <c r="AE260" s="9" t="s">
        <v>60</v>
      </c>
    </row>
    <row r="261" spans="1:31" ht="140.25" x14ac:dyDescent="0.2">
      <c r="A261" s="8" t="str">
        <f>HYPERLINK("http://www.patentics.cn/invokexml.do?sx=showpatent_cn&amp;sf=ShowPatent&amp;spn=US9585069&amp;sx=showpatent_cn&amp;sv=5420e46c50850eabb24aeec45b81d857","US9585069")</f>
        <v>US9585069</v>
      </c>
      <c r="B261" s="9" t="s">
        <v>1273</v>
      </c>
      <c r="C261" s="9" t="s">
        <v>1274</v>
      </c>
      <c r="D261" s="9" t="s">
        <v>48</v>
      </c>
      <c r="E261" s="9" t="s">
        <v>49</v>
      </c>
      <c r="F261" s="9" t="s">
        <v>1268</v>
      </c>
      <c r="G261" s="9" t="s">
        <v>1269</v>
      </c>
      <c r="H261" s="9" t="s">
        <v>1270</v>
      </c>
      <c r="I261" s="9" t="s">
        <v>1271</v>
      </c>
      <c r="J261" s="9" t="s">
        <v>605</v>
      </c>
      <c r="K261" s="9" t="s">
        <v>55</v>
      </c>
      <c r="L261" s="9" t="s">
        <v>56</v>
      </c>
      <c r="M261" s="9">
        <v>74</v>
      </c>
      <c r="N261" s="9">
        <v>14</v>
      </c>
      <c r="O261" s="9" t="s">
        <v>57</v>
      </c>
      <c r="P261" s="9" t="s">
        <v>58</v>
      </c>
      <c r="Q261" s="9">
        <v>144</v>
      </c>
      <c r="R261" s="9">
        <v>17</v>
      </c>
      <c r="S261" s="9">
        <v>127</v>
      </c>
      <c r="T261" s="9">
        <v>41</v>
      </c>
      <c r="U261" s="9">
        <v>0</v>
      </c>
      <c r="V261" s="9" t="s">
        <v>114</v>
      </c>
      <c r="W261" s="9">
        <v>0</v>
      </c>
      <c r="X261" s="9">
        <v>0</v>
      </c>
      <c r="Y261" s="9">
        <v>0</v>
      </c>
      <c r="Z261" s="9">
        <v>0</v>
      </c>
      <c r="AA261" s="9">
        <v>48</v>
      </c>
      <c r="AB261" s="9">
        <v>15</v>
      </c>
      <c r="AC261" s="9">
        <v>14</v>
      </c>
      <c r="AD261" s="9" t="s">
        <v>0</v>
      </c>
      <c r="AE261" s="9" t="s">
        <v>60</v>
      </c>
    </row>
    <row r="262" spans="1:31" ht="165.75" x14ac:dyDescent="0.2">
      <c r="A262" s="8" t="str">
        <f>HYPERLINK("http://www.patentics.cn/invokexml.do?sx=showpatent_cn&amp;sf=ShowPatent&amp;spn=US9648493&amp;sx=showpatent_cn&amp;sv=01975326d45001d1c6747e81f02a7d7f","US9648493")</f>
        <v>US9648493</v>
      </c>
      <c r="B262" s="9" t="s">
        <v>1275</v>
      </c>
      <c r="C262" s="9" t="s">
        <v>1276</v>
      </c>
      <c r="D262" s="9" t="s">
        <v>48</v>
      </c>
      <c r="E262" s="9" t="s">
        <v>49</v>
      </c>
      <c r="F262" s="9" t="s">
        <v>1277</v>
      </c>
      <c r="G262" s="9" t="s">
        <v>1278</v>
      </c>
      <c r="H262" s="9" t="s">
        <v>1279</v>
      </c>
      <c r="I262" s="9" t="s">
        <v>1280</v>
      </c>
      <c r="J262" s="9" t="s">
        <v>1141</v>
      </c>
      <c r="K262" s="9" t="s">
        <v>89</v>
      </c>
      <c r="L262" s="9" t="s">
        <v>136</v>
      </c>
      <c r="M262" s="9">
        <v>16</v>
      </c>
      <c r="N262" s="9">
        <v>10</v>
      </c>
      <c r="O262" s="9" t="s">
        <v>57</v>
      </c>
      <c r="P262" s="9" t="s">
        <v>58</v>
      </c>
      <c r="Q262" s="9">
        <v>147</v>
      </c>
      <c r="R262" s="9">
        <v>17</v>
      </c>
      <c r="S262" s="9">
        <v>130</v>
      </c>
      <c r="T262" s="9">
        <v>43</v>
      </c>
      <c r="U262" s="9">
        <v>0</v>
      </c>
      <c r="V262" s="9" t="s">
        <v>114</v>
      </c>
      <c r="W262" s="9">
        <v>0</v>
      </c>
      <c r="X262" s="9">
        <v>0</v>
      </c>
      <c r="Y262" s="9">
        <v>0</v>
      </c>
      <c r="Z262" s="9">
        <v>0</v>
      </c>
      <c r="AA262" s="9">
        <v>73</v>
      </c>
      <c r="AB262" s="9">
        <v>20</v>
      </c>
      <c r="AC262" s="9">
        <v>14</v>
      </c>
      <c r="AD262" s="9" t="s">
        <v>0</v>
      </c>
      <c r="AE262" s="9" t="s">
        <v>60</v>
      </c>
    </row>
    <row r="263" spans="1:31" ht="127.5" x14ac:dyDescent="0.2">
      <c r="A263" s="8" t="str">
        <f>HYPERLINK("http://www.patentics.cn/invokexml.do?sx=showpatent_cn&amp;sf=ShowPatent&amp;spn=US9736752&amp;sx=showpatent_cn&amp;sv=d0ea544bcfc2f4df884d24ea0106b015","US9736752")</f>
        <v>US9736752</v>
      </c>
      <c r="B263" s="9" t="s">
        <v>1281</v>
      </c>
      <c r="C263" s="9" t="s">
        <v>1282</v>
      </c>
      <c r="D263" s="9" t="s">
        <v>48</v>
      </c>
      <c r="E263" s="9" t="s">
        <v>49</v>
      </c>
      <c r="F263" s="9" t="s">
        <v>1283</v>
      </c>
      <c r="G263" s="9" t="s">
        <v>187</v>
      </c>
      <c r="H263" s="9" t="s">
        <v>1284</v>
      </c>
      <c r="I263" s="9" t="s">
        <v>1284</v>
      </c>
      <c r="J263" s="9" t="s">
        <v>844</v>
      </c>
      <c r="K263" s="9" t="s">
        <v>55</v>
      </c>
      <c r="L263" s="9" t="s">
        <v>1285</v>
      </c>
      <c r="M263" s="9">
        <v>10</v>
      </c>
      <c r="N263" s="9">
        <v>14</v>
      </c>
      <c r="O263" s="9" t="s">
        <v>57</v>
      </c>
      <c r="P263" s="9" t="s">
        <v>58</v>
      </c>
      <c r="Q263" s="9">
        <v>447</v>
      </c>
      <c r="R263" s="9">
        <v>53</v>
      </c>
      <c r="S263" s="9">
        <v>394</v>
      </c>
      <c r="T263" s="9">
        <v>87</v>
      </c>
      <c r="U263" s="9">
        <v>0</v>
      </c>
      <c r="V263" s="9" t="s">
        <v>114</v>
      </c>
      <c r="W263" s="9">
        <v>0</v>
      </c>
      <c r="X263" s="9">
        <v>0</v>
      </c>
      <c r="Y263" s="9">
        <v>0</v>
      </c>
      <c r="Z263" s="9">
        <v>0</v>
      </c>
      <c r="AA263" s="9">
        <v>69</v>
      </c>
      <c r="AB263" s="9">
        <v>15</v>
      </c>
      <c r="AC263" s="9">
        <v>14</v>
      </c>
      <c r="AD263" s="9" t="s">
        <v>0</v>
      </c>
      <c r="AE263" s="9" t="s">
        <v>60</v>
      </c>
    </row>
    <row r="264" spans="1:31" ht="153" x14ac:dyDescent="0.2">
      <c r="A264" s="8" t="str">
        <f>HYPERLINK("http://www.patentics.cn/invokexml.do?sx=showpatent_cn&amp;sf=ShowPatent&amp;spn=CN103561399B&amp;sx=showpatent_cn&amp;sv=06f4c597a1d472e2d4acf86090504b6b","CN103561399B")</f>
        <v>CN103561399B</v>
      </c>
      <c r="B264" s="9" t="s">
        <v>1286</v>
      </c>
      <c r="C264" s="9" t="s">
        <v>1287</v>
      </c>
      <c r="D264" s="9" t="s">
        <v>301</v>
      </c>
      <c r="E264" s="9" t="s">
        <v>301</v>
      </c>
      <c r="F264" s="9" t="s">
        <v>1288</v>
      </c>
      <c r="G264" s="9" t="s">
        <v>1289</v>
      </c>
      <c r="H264" s="9" t="s">
        <v>1284</v>
      </c>
      <c r="I264" s="9" t="s">
        <v>1290</v>
      </c>
      <c r="J264" s="9" t="s">
        <v>1291</v>
      </c>
      <c r="K264" s="9" t="s">
        <v>55</v>
      </c>
      <c r="L264" s="9" t="s">
        <v>1292</v>
      </c>
      <c r="M264" s="9">
        <v>3</v>
      </c>
      <c r="N264" s="9">
        <v>25</v>
      </c>
      <c r="O264" s="9" t="s">
        <v>57</v>
      </c>
      <c r="P264" s="9" t="s">
        <v>58</v>
      </c>
      <c r="Q264" s="9">
        <v>3</v>
      </c>
      <c r="R264" s="9">
        <v>0</v>
      </c>
      <c r="S264" s="9">
        <v>3</v>
      </c>
      <c r="T264" s="9">
        <v>3</v>
      </c>
      <c r="U264" s="9">
        <v>0</v>
      </c>
      <c r="V264" s="9" t="s">
        <v>114</v>
      </c>
      <c r="W264" s="9">
        <v>0</v>
      </c>
      <c r="X264" s="9">
        <v>0</v>
      </c>
      <c r="Y264" s="9">
        <v>0</v>
      </c>
      <c r="Z264" s="9">
        <v>0</v>
      </c>
      <c r="AA264" s="9">
        <v>69</v>
      </c>
      <c r="AB264" s="9">
        <v>15</v>
      </c>
      <c r="AC264" s="9">
        <v>14</v>
      </c>
      <c r="AD264" s="9" t="s">
        <v>0</v>
      </c>
      <c r="AE264" s="9" t="s">
        <v>60</v>
      </c>
    </row>
    <row r="265" spans="1:31" ht="25.5" x14ac:dyDescent="0.2">
      <c r="A265" s="6" t="str">
        <f>HYPERLINK("http://www.patentics.cn/invokexml.do?sx=showpatent_cn&amp;sf=ShowPatent&amp;spn=CN101882000&amp;sx=showpatent_cn&amp;sv=0a241c4f652c1bd71f7558d1f7bb2bed","CN101882000")</f>
        <v>CN101882000</v>
      </c>
      <c r="B265" s="7" t="s">
        <v>1293</v>
      </c>
      <c r="C265" s="7" t="s">
        <v>1294</v>
      </c>
      <c r="D265" s="7" t="s">
        <v>1295</v>
      </c>
      <c r="E265" s="7" t="s">
        <v>1295</v>
      </c>
      <c r="F265" s="7" t="s">
        <v>1296</v>
      </c>
      <c r="G265" s="7" t="s">
        <v>1297</v>
      </c>
      <c r="H265" s="7" t="s">
        <v>1298</v>
      </c>
      <c r="I265" s="7" t="s">
        <v>1298</v>
      </c>
      <c r="J265" s="7" t="s">
        <v>1299</v>
      </c>
      <c r="K265" s="7" t="s">
        <v>885</v>
      </c>
      <c r="L265" s="7" t="s">
        <v>1300</v>
      </c>
      <c r="M265" s="7">
        <v>4</v>
      </c>
      <c r="N265" s="7">
        <v>25</v>
      </c>
      <c r="O265" s="7" t="s">
        <v>42</v>
      </c>
      <c r="P265" s="7" t="s">
        <v>43</v>
      </c>
      <c r="Q265" s="7">
        <v>3</v>
      </c>
      <c r="R265" s="7">
        <v>0</v>
      </c>
      <c r="S265" s="7">
        <v>3</v>
      </c>
      <c r="T265" s="7">
        <v>3</v>
      </c>
      <c r="U265" s="7">
        <v>13</v>
      </c>
      <c r="V265" s="7" t="s">
        <v>1301</v>
      </c>
      <c r="W265" s="7">
        <v>0</v>
      </c>
      <c r="X265" s="7">
        <v>13</v>
      </c>
      <c r="Y265" s="7">
        <v>6</v>
      </c>
      <c r="Z265" s="7">
        <v>3</v>
      </c>
      <c r="AA265" s="7">
        <v>1</v>
      </c>
      <c r="AB265" s="7">
        <v>1</v>
      </c>
      <c r="AC265" s="7" t="s">
        <v>0</v>
      </c>
      <c r="AD265" s="7">
        <v>6</v>
      </c>
      <c r="AE265" s="7" t="s">
        <v>60</v>
      </c>
    </row>
    <row r="266" spans="1:31" ht="76.5" x14ac:dyDescent="0.2">
      <c r="A266" s="8" t="str">
        <f>HYPERLINK("http://www.patentics.cn/invokexml.do?sx=showpatent_cn&amp;sf=ShowPatent&amp;spn=US9684870&amp;sx=showpatent_cn&amp;sv=de1ef584429902ffabc4ccda2c3156f3","US9684870")</f>
        <v>US9684870</v>
      </c>
      <c r="B266" s="9" t="s">
        <v>1302</v>
      </c>
      <c r="C266" s="9" t="s">
        <v>1303</v>
      </c>
      <c r="D266" s="9" t="s">
        <v>48</v>
      </c>
      <c r="E266" s="9" t="s">
        <v>49</v>
      </c>
      <c r="F266" s="9" t="s">
        <v>1304</v>
      </c>
      <c r="G266" s="9" t="s">
        <v>1305</v>
      </c>
      <c r="H266" s="9" t="s">
        <v>1306</v>
      </c>
      <c r="I266" s="9" t="s">
        <v>723</v>
      </c>
      <c r="J266" s="9" t="s">
        <v>1307</v>
      </c>
      <c r="K266" s="9" t="s">
        <v>869</v>
      </c>
      <c r="L266" s="9" t="s">
        <v>1308</v>
      </c>
      <c r="M266" s="9">
        <v>25</v>
      </c>
      <c r="N266" s="9">
        <v>27</v>
      </c>
      <c r="O266" s="9" t="s">
        <v>57</v>
      </c>
      <c r="P266" s="9" t="s">
        <v>58</v>
      </c>
      <c r="Q266" s="9">
        <v>217</v>
      </c>
      <c r="R266" s="9">
        <v>38</v>
      </c>
      <c r="S266" s="9">
        <v>179</v>
      </c>
      <c r="T266" s="9">
        <v>90</v>
      </c>
      <c r="U266" s="9">
        <v>0</v>
      </c>
      <c r="V266" s="9" t="s">
        <v>114</v>
      </c>
      <c r="W266" s="9">
        <v>0</v>
      </c>
      <c r="X266" s="9">
        <v>0</v>
      </c>
      <c r="Y266" s="9">
        <v>0</v>
      </c>
      <c r="Z266" s="9">
        <v>0</v>
      </c>
      <c r="AA266" s="9">
        <v>15</v>
      </c>
      <c r="AB266" s="9">
        <v>7</v>
      </c>
      <c r="AC266" s="9">
        <v>14</v>
      </c>
      <c r="AD266" s="9" t="s">
        <v>0</v>
      </c>
      <c r="AE266" s="9" t="s">
        <v>60</v>
      </c>
    </row>
    <row r="267" spans="1:31" ht="76.5" x14ac:dyDescent="0.2">
      <c r="A267" s="8" t="str">
        <f>HYPERLINK("http://www.patentics.cn/invokexml.do?sx=showpatent_cn&amp;sf=ShowPatent&amp;spn=US9686023&amp;sx=showpatent_cn&amp;sv=122d2aa9337f3b8948f13f1dedbe2bc6","US9686023")</f>
        <v>US9686023</v>
      </c>
      <c r="B267" s="9" t="s">
        <v>1309</v>
      </c>
      <c r="C267" s="9" t="s">
        <v>1310</v>
      </c>
      <c r="D267" s="9" t="s">
        <v>48</v>
      </c>
      <c r="E267" s="9" t="s">
        <v>49</v>
      </c>
      <c r="F267" s="9" t="s">
        <v>1311</v>
      </c>
      <c r="G267" s="9" t="s">
        <v>1135</v>
      </c>
      <c r="H267" s="9" t="s">
        <v>1306</v>
      </c>
      <c r="I267" s="9" t="s">
        <v>1312</v>
      </c>
      <c r="J267" s="9" t="s">
        <v>1307</v>
      </c>
      <c r="K267" s="9" t="s">
        <v>89</v>
      </c>
      <c r="L267" s="9" t="s">
        <v>1313</v>
      </c>
      <c r="M267" s="9">
        <v>30</v>
      </c>
      <c r="N267" s="9">
        <v>28</v>
      </c>
      <c r="O267" s="9" t="s">
        <v>57</v>
      </c>
      <c r="P267" s="9" t="s">
        <v>58</v>
      </c>
      <c r="Q267" s="9">
        <v>216</v>
      </c>
      <c r="R267" s="9">
        <v>38</v>
      </c>
      <c r="S267" s="9">
        <v>178</v>
      </c>
      <c r="T267" s="9">
        <v>90</v>
      </c>
      <c r="U267" s="9">
        <v>0</v>
      </c>
      <c r="V267" s="9" t="s">
        <v>114</v>
      </c>
      <c r="W267" s="9">
        <v>0</v>
      </c>
      <c r="X267" s="9">
        <v>0</v>
      </c>
      <c r="Y267" s="9">
        <v>0</v>
      </c>
      <c r="Z267" s="9">
        <v>0</v>
      </c>
      <c r="AA267" s="9">
        <v>15</v>
      </c>
      <c r="AB267" s="9">
        <v>7</v>
      </c>
      <c r="AC267" s="9">
        <v>14</v>
      </c>
      <c r="AD267" s="9" t="s">
        <v>0</v>
      </c>
      <c r="AE267" s="9" t="s">
        <v>60</v>
      </c>
    </row>
    <row r="268" spans="1:31" ht="102" x14ac:dyDescent="0.2">
      <c r="A268" s="8" t="str">
        <f>HYPERLINK("http://www.patentics.cn/invokexml.do?sx=showpatent_cn&amp;sf=ShowPatent&amp;spn=US9690635&amp;sx=showpatent_cn&amp;sv=02cce34e5176d8f1b6035a0c4c5c5aaf","US9690635")</f>
        <v>US9690635</v>
      </c>
      <c r="B268" s="9" t="s">
        <v>1314</v>
      </c>
      <c r="C268" s="9" t="s">
        <v>1315</v>
      </c>
      <c r="D268" s="9" t="s">
        <v>48</v>
      </c>
      <c r="E268" s="9" t="s">
        <v>49</v>
      </c>
      <c r="F268" s="9" t="s">
        <v>1316</v>
      </c>
      <c r="G268" s="9" t="s">
        <v>952</v>
      </c>
      <c r="H268" s="9" t="s">
        <v>1317</v>
      </c>
      <c r="I268" s="9" t="s">
        <v>1318</v>
      </c>
      <c r="J268" s="9" t="s">
        <v>298</v>
      </c>
      <c r="K268" s="9" t="s">
        <v>885</v>
      </c>
      <c r="L268" s="9" t="s">
        <v>1014</v>
      </c>
      <c r="M268" s="9">
        <v>15</v>
      </c>
      <c r="N268" s="9">
        <v>20</v>
      </c>
      <c r="O268" s="9" t="s">
        <v>57</v>
      </c>
      <c r="P268" s="9" t="s">
        <v>58</v>
      </c>
      <c r="Q268" s="9">
        <v>216</v>
      </c>
      <c r="R268" s="9">
        <v>37</v>
      </c>
      <c r="S268" s="9">
        <v>179</v>
      </c>
      <c r="T268" s="9">
        <v>90</v>
      </c>
      <c r="U268" s="9">
        <v>0</v>
      </c>
      <c r="V268" s="9" t="s">
        <v>114</v>
      </c>
      <c r="W268" s="9">
        <v>0</v>
      </c>
      <c r="X268" s="9">
        <v>0</v>
      </c>
      <c r="Y268" s="9">
        <v>0</v>
      </c>
      <c r="Z268" s="9">
        <v>0</v>
      </c>
      <c r="AA268" s="9">
        <v>55</v>
      </c>
      <c r="AB268" s="9">
        <v>8</v>
      </c>
      <c r="AC268" s="9">
        <v>14</v>
      </c>
      <c r="AD268" s="9" t="s">
        <v>0</v>
      </c>
      <c r="AE268" s="9" t="s">
        <v>60</v>
      </c>
    </row>
    <row r="269" spans="1:31" ht="89.25" x14ac:dyDescent="0.2">
      <c r="A269" s="8" t="str">
        <f>HYPERLINK("http://www.patentics.cn/invokexml.do?sx=showpatent_cn&amp;sf=ShowPatent&amp;spn=US9742559&amp;sx=showpatent_cn&amp;sv=c01d2cdd48972506827fe08bad276a17","US9742559")</f>
        <v>US9742559</v>
      </c>
      <c r="B269" s="9" t="s">
        <v>1319</v>
      </c>
      <c r="C269" s="9" t="s">
        <v>1320</v>
      </c>
      <c r="D269" s="9" t="s">
        <v>48</v>
      </c>
      <c r="E269" s="9" t="s">
        <v>49</v>
      </c>
      <c r="F269" s="9" t="s">
        <v>1321</v>
      </c>
      <c r="G269" s="9" t="s">
        <v>1322</v>
      </c>
      <c r="H269" s="9" t="s">
        <v>1323</v>
      </c>
      <c r="I269" s="9" t="s">
        <v>1324</v>
      </c>
      <c r="J269" s="9" t="s">
        <v>1325</v>
      </c>
      <c r="K269" s="9" t="s">
        <v>68</v>
      </c>
      <c r="L269" s="9" t="s">
        <v>1326</v>
      </c>
      <c r="M269" s="9">
        <v>11</v>
      </c>
      <c r="N269" s="9">
        <v>30</v>
      </c>
      <c r="O269" s="9" t="s">
        <v>57</v>
      </c>
      <c r="P269" s="9" t="s">
        <v>58</v>
      </c>
      <c r="Q269" s="9">
        <v>225</v>
      </c>
      <c r="R269" s="9">
        <v>38</v>
      </c>
      <c r="S269" s="9">
        <v>187</v>
      </c>
      <c r="T269" s="9">
        <v>92</v>
      </c>
      <c r="U269" s="9">
        <v>0</v>
      </c>
      <c r="V269" s="9" t="s">
        <v>114</v>
      </c>
      <c r="W269" s="9">
        <v>0</v>
      </c>
      <c r="X269" s="9">
        <v>0</v>
      </c>
      <c r="Y269" s="9">
        <v>0</v>
      </c>
      <c r="Z269" s="9">
        <v>0</v>
      </c>
      <c r="AA269" s="9">
        <v>1</v>
      </c>
      <c r="AB269" s="9">
        <v>1</v>
      </c>
      <c r="AC269" s="9">
        <v>14</v>
      </c>
      <c r="AD269" s="9" t="s">
        <v>0</v>
      </c>
      <c r="AE269" s="9" t="s">
        <v>60</v>
      </c>
    </row>
    <row r="270" spans="1:31" ht="102" x14ac:dyDescent="0.2">
      <c r="A270" s="8" t="str">
        <f>HYPERLINK("http://www.patentics.cn/invokexml.do?sx=showpatent_cn&amp;sf=ShowPatent&amp;spn=US9747440&amp;sx=showpatent_cn&amp;sv=95e988dcad7e7f522f1bc557d434788c","US9747440")</f>
        <v>US9747440</v>
      </c>
      <c r="B270" s="9" t="s">
        <v>1327</v>
      </c>
      <c r="C270" s="9" t="s">
        <v>1328</v>
      </c>
      <c r="D270" s="9" t="s">
        <v>48</v>
      </c>
      <c r="E270" s="9" t="s">
        <v>49</v>
      </c>
      <c r="F270" s="9" t="s">
        <v>1329</v>
      </c>
      <c r="G270" s="9" t="s">
        <v>952</v>
      </c>
      <c r="H270" s="9" t="s">
        <v>1330</v>
      </c>
      <c r="I270" s="9" t="s">
        <v>1331</v>
      </c>
      <c r="J270" s="9" t="s">
        <v>1332</v>
      </c>
      <c r="K270" s="9" t="s">
        <v>885</v>
      </c>
      <c r="L270" s="9" t="s">
        <v>1333</v>
      </c>
      <c r="M270" s="9">
        <v>36</v>
      </c>
      <c r="N270" s="9">
        <v>25</v>
      </c>
      <c r="O270" s="9" t="s">
        <v>57</v>
      </c>
      <c r="P270" s="9" t="s">
        <v>58</v>
      </c>
      <c r="Q270" s="9">
        <v>225</v>
      </c>
      <c r="R270" s="9">
        <v>37</v>
      </c>
      <c r="S270" s="9">
        <v>188</v>
      </c>
      <c r="T270" s="9">
        <v>94</v>
      </c>
      <c r="U270" s="9">
        <v>0</v>
      </c>
      <c r="V270" s="9" t="s">
        <v>114</v>
      </c>
      <c r="W270" s="9">
        <v>0</v>
      </c>
      <c r="X270" s="9">
        <v>0</v>
      </c>
      <c r="Y270" s="9">
        <v>0</v>
      </c>
      <c r="Z270" s="9">
        <v>0</v>
      </c>
      <c r="AA270" s="9">
        <v>11</v>
      </c>
      <c r="AB270" s="9">
        <v>2</v>
      </c>
      <c r="AC270" s="9">
        <v>14</v>
      </c>
      <c r="AD270" s="9" t="s">
        <v>0</v>
      </c>
      <c r="AE270" s="9" t="s">
        <v>60</v>
      </c>
    </row>
    <row r="271" spans="1:31" ht="76.5" x14ac:dyDescent="0.2">
      <c r="A271" s="8" t="str">
        <f>HYPERLINK("http://www.patentics.cn/invokexml.do?sx=showpatent_cn&amp;sf=ShowPatent&amp;spn=US9756066&amp;sx=showpatent_cn&amp;sv=ccb83ac15b45f2b69cf57fe12d02062c","US9756066")</f>
        <v>US9756066</v>
      </c>
      <c r="B271" s="9" t="s">
        <v>1334</v>
      </c>
      <c r="C271" s="9" t="s">
        <v>1335</v>
      </c>
      <c r="D271" s="9" t="s">
        <v>48</v>
      </c>
      <c r="E271" s="9" t="s">
        <v>49</v>
      </c>
      <c r="F271" s="9" t="s">
        <v>1336</v>
      </c>
      <c r="G271" s="9" t="s">
        <v>952</v>
      </c>
      <c r="H271" s="9" t="s">
        <v>1330</v>
      </c>
      <c r="I271" s="9" t="s">
        <v>1337</v>
      </c>
      <c r="J271" s="9" t="s">
        <v>1338</v>
      </c>
      <c r="K271" s="9" t="s">
        <v>55</v>
      </c>
      <c r="L271" s="9" t="s">
        <v>947</v>
      </c>
      <c r="M271" s="9">
        <v>30</v>
      </c>
      <c r="N271" s="9">
        <v>15</v>
      </c>
      <c r="O271" s="9" t="s">
        <v>57</v>
      </c>
      <c r="P271" s="9" t="s">
        <v>58</v>
      </c>
      <c r="Q271" s="9">
        <v>39</v>
      </c>
      <c r="R271" s="9">
        <v>6</v>
      </c>
      <c r="S271" s="9">
        <v>33</v>
      </c>
      <c r="T271" s="9">
        <v>27</v>
      </c>
      <c r="U271" s="9">
        <v>0</v>
      </c>
      <c r="V271" s="9" t="s">
        <v>114</v>
      </c>
      <c r="W271" s="9">
        <v>0</v>
      </c>
      <c r="X271" s="9">
        <v>0</v>
      </c>
      <c r="Y271" s="9">
        <v>0</v>
      </c>
      <c r="Z271" s="9">
        <v>0</v>
      </c>
      <c r="AA271" s="9">
        <v>11</v>
      </c>
      <c r="AB271" s="9">
        <v>2</v>
      </c>
      <c r="AC271" s="9">
        <v>14</v>
      </c>
      <c r="AD271" s="9" t="s">
        <v>0</v>
      </c>
      <c r="AE271" s="9" t="s">
        <v>60</v>
      </c>
    </row>
    <row r="272" spans="1:31" ht="38.25" x14ac:dyDescent="0.2">
      <c r="A272" s="6" t="str">
        <f>HYPERLINK("http://www.patentics.cn/invokexml.do?sx=showpatent_cn&amp;sf=ShowPatent&amp;spn=CN101330616&amp;sx=showpatent_cn&amp;sv=c8ebea4f6b9a91c6f180084925309473","CN101330616")</f>
        <v>CN101330616</v>
      </c>
      <c r="B272" s="7" t="s">
        <v>1339</v>
      </c>
      <c r="C272" s="7" t="s">
        <v>1340</v>
      </c>
      <c r="D272" s="7" t="s">
        <v>1341</v>
      </c>
      <c r="E272" s="7" t="s">
        <v>1341</v>
      </c>
      <c r="F272" s="7" t="s">
        <v>1342</v>
      </c>
      <c r="G272" s="7" t="s">
        <v>1343</v>
      </c>
      <c r="H272" s="7" t="s">
        <v>1344</v>
      </c>
      <c r="I272" s="7" t="s">
        <v>1344</v>
      </c>
      <c r="J272" s="7" t="s">
        <v>1345</v>
      </c>
      <c r="K272" s="7" t="s">
        <v>714</v>
      </c>
      <c r="L272" s="7" t="s">
        <v>1346</v>
      </c>
      <c r="M272" s="7">
        <v>10</v>
      </c>
      <c r="N272" s="7">
        <v>18</v>
      </c>
      <c r="O272" s="7" t="s">
        <v>42</v>
      </c>
      <c r="P272" s="7" t="s">
        <v>43</v>
      </c>
      <c r="Q272" s="7">
        <v>0</v>
      </c>
      <c r="R272" s="7">
        <v>0</v>
      </c>
      <c r="S272" s="7">
        <v>0</v>
      </c>
      <c r="T272" s="7">
        <v>0</v>
      </c>
      <c r="U272" s="7">
        <v>10</v>
      </c>
      <c r="V272" s="7" t="s">
        <v>1347</v>
      </c>
      <c r="W272" s="7">
        <v>0</v>
      </c>
      <c r="X272" s="7">
        <v>10</v>
      </c>
      <c r="Y272" s="7">
        <v>4</v>
      </c>
      <c r="Z272" s="7">
        <v>2</v>
      </c>
      <c r="AA272" s="7">
        <v>1</v>
      </c>
      <c r="AB272" s="7">
        <v>1</v>
      </c>
      <c r="AC272" s="7" t="s">
        <v>0</v>
      </c>
      <c r="AD272" s="7">
        <v>6</v>
      </c>
      <c r="AE272" s="7" t="s">
        <v>60</v>
      </c>
    </row>
    <row r="273" spans="1:31" ht="25.5" x14ac:dyDescent="0.2">
      <c r="A273" s="8" t="str">
        <f>HYPERLINK("http://www.patentics.cn/invokexml.do?sx=showpatent_cn&amp;sf=ShowPatent&amp;spn=US9069713&amp;sx=showpatent_cn&amp;sv=85c187206fce98cf65988eeab7b9f8e8","US9069713")</f>
        <v>US9069713</v>
      </c>
      <c r="B273" s="9" t="s">
        <v>1348</v>
      </c>
      <c r="C273" s="9" t="s">
        <v>1349</v>
      </c>
      <c r="D273" s="9" t="s">
        <v>578</v>
      </c>
      <c r="E273" s="9" t="s">
        <v>49</v>
      </c>
      <c r="F273" s="9" t="s">
        <v>1350</v>
      </c>
      <c r="G273" s="9" t="s">
        <v>1350</v>
      </c>
      <c r="H273" s="9" t="s">
        <v>1351</v>
      </c>
      <c r="I273" s="9" t="s">
        <v>1352</v>
      </c>
      <c r="J273" s="9" t="s">
        <v>913</v>
      </c>
      <c r="K273" s="9" t="s">
        <v>885</v>
      </c>
      <c r="L273" s="9" t="s">
        <v>1353</v>
      </c>
      <c r="M273" s="9">
        <v>42</v>
      </c>
      <c r="N273" s="9">
        <v>22</v>
      </c>
      <c r="O273" s="9" t="s">
        <v>57</v>
      </c>
      <c r="P273" s="9" t="s">
        <v>58</v>
      </c>
      <c r="Q273" s="9">
        <v>79</v>
      </c>
      <c r="R273" s="9">
        <v>19</v>
      </c>
      <c r="S273" s="9">
        <v>60</v>
      </c>
      <c r="T273" s="9">
        <v>33</v>
      </c>
      <c r="U273" s="9">
        <v>0</v>
      </c>
      <c r="V273" s="9" t="s">
        <v>114</v>
      </c>
      <c r="W273" s="9">
        <v>0</v>
      </c>
      <c r="X273" s="9">
        <v>0</v>
      </c>
      <c r="Y273" s="9">
        <v>0</v>
      </c>
      <c r="Z273" s="9">
        <v>0</v>
      </c>
      <c r="AA273" s="9">
        <v>28</v>
      </c>
      <c r="AB273" s="9">
        <v>8</v>
      </c>
      <c r="AC273" s="9">
        <v>14</v>
      </c>
      <c r="AD273" s="9" t="s">
        <v>0</v>
      </c>
      <c r="AE273" s="9" t="s">
        <v>60</v>
      </c>
    </row>
    <row r="274" spans="1:31" ht="63.75" x14ac:dyDescent="0.2">
      <c r="A274" s="8" t="str">
        <f>HYPERLINK("http://www.patentics.cn/invokexml.do?sx=showpatent_cn&amp;sf=ShowPatent&amp;spn=US9075757&amp;sx=showpatent_cn&amp;sv=a8b65ca230d9da33370e685a423b9c5a","US9075757")</f>
        <v>US9075757</v>
      </c>
      <c r="B274" s="9" t="s">
        <v>1354</v>
      </c>
      <c r="C274" s="9" t="s">
        <v>1355</v>
      </c>
      <c r="D274" s="9" t="s">
        <v>117</v>
      </c>
      <c r="E274" s="9" t="s">
        <v>49</v>
      </c>
      <c r="F274" s="9" t="s">
        <v>1356</v>
      </c>
      <c r="G274" s="9" t="s">
        <v>1350</v>
      </c>
      <c r="H274" s="9" t="s">
        <v>1357</v>
      </c>
      <c r="I274" s="9" t="s">
        <v>1358</v>
      </c>
      <c r="J274" s="9" t="s">
        <v>1359</v>
      </c>
      <c r="K274" s="9" t="s">
        <v>714</v>
      </c>
      <c r="L274" s="9" t="s">
        <v>1360</v>
      </c>
      <c r="M274" s="9">
        <v>53</v>
      </c>
      <c r="N274" s="9">
        <v>20</v>
      </c>
      <c r="O274" s="9" t="s">
        <v>57</v>
      </c>
      <c r="P274" s="9" t="s">
        <v>58</v>
      </c>
      <c r="Q274" s="9">
        <v>84</v>
      </c>
      <c r="R274" s="9">
        <v>21</v>
      </c>
      <c r="S274" s="9">
        <v>63</v>
      </c>
      <c r="T274" s="9">
        <v>35</v>
      </c>
      <c r="U274" s="9">
        <v>0</v>
      </c>
      <c r="V274" s="9" t="s">
        <v>114</v>
      </c>
      <c r="W274" s="9">
        <v>0</v>
      </c>
      <c r="X274" s="9">
        <v>0</v>
      </c>
      <c r="Y274" s="9">
        <v>0</v>
      </c>
      <c r="Z274" s="9">
        <v>0</v>
      </c>
      <c r="AA274" s="9">
        <v>21</v>
      </c>
      <c r="AB274" s="9">
        <v>8</v>
      </c>
      <c r="AC274" s="9">
        <v>14</v>
      </c>
      <c r="AD274" s="9" t="s">
        <v>0</v>
      </c>
      <c r="AE274" s="9" t="s">
        <v>60</v>
      </c>
    </row>
    <row r="275" spans="1:31" ht="63.75" x14ac:dyDescent="0.2">
      <c r="A275" s="8" t="str">
        <f>HYPERLINK("http://www.patentics.cn/invokexml.do?sx=showpatent_cn&amp;sf=ShowPatent&amp;spn=US9081733&amp;sx=showpatent_cn&amp;sv=ac6dd06eee9c603e3534e712db6a21e2","US9081733")</f>
        <v>US9081733</v>
      </c>
      <c r="B275" s="9" t="s">
        <v>1361</v>
      </c>
      <c r="C275" s="9" t="s">
        <v>1355</v>
      </c>
      <c r="D275" s="9" t="s">
        <v>578</v>
      </c>
      <c r="E275" s="9" t="s">
        <v>49</v>
      </c>
      <c r="F275" s="9" t="s">
        <v>1356</v>
      </c>
      <c r="G275" s="9" t="s">
        <v>1350</v>
      </c>
      <c r="H275" s="9" t="s">
        <v>1357</v>
      </c>
      <c r="I275" s="9" t="s">
        <v>1358</v>
      </c>
      <c r="J275" s="9" t="s">
        <v>1072</v>
      </c>
      <c r="K275" s="9" t="s">
        <v>714</v>
      </c>
      <c r="L275" s="9" t="s">
        <v>1360</v>
      </c>
      <c r="M275" s="9">
        <v>53</v>
      </c>
      <c r="N275" s="9">
        <v>20</v>
      </c>
      <c r="O275" s="9" t="s">
        <v>57</v>
      </c>
      <c r="P275" s="9" t="s">
        <v>58</v>
      </c>
      <c r="Q275" s="9">
        <v>87</v>
      </c>
      <c r="R275" s="9">
        <v>21</v>
      </c>
      <c r="S275" s="9">
        <v>66</v>
      </c>
      <c r="T275" s="9">
        <v>38</v>
      </c>
      <c r="U275" s="9">
        <v>0</v>
      </c>
      <c r="V275" s="9" t="s">
        <v>114</v>
      </c>
      <c r="W275" s="9">
        <v>0</v>
      </c>
      <c r="X275" s="9">
        <v>0</v>
      </c>
      <c r="Y275" s="9">
        <v>0</v>
      </c>
      <c r="Z275" s="9">
        <v>0</v>
      </c>
      <c r="AA275" s="9">
        <v>21</v>
      </c>
      <c r="AB275" s="9">
        <v>8</v>
      </c>
      <c r="AC275" s="9">
        <v>14</v>
      </c>
      <c r="AD275" s="9" t="s">
        <v>0</v>
      </c>
      <c r="AE275" s="9" t="s">
        <v>60</v>
      </c>
    </row>
    <row r="276" spans="1:31" ht="25.5" x14ac:dyDescent="0.2">
      <c r="A276" s="8" t="str">
        <f>HYPERLINK("http://www.patentics.cn/invokexml.do?sx=showpatent_cn&amp;sf=ShowPatent&amp;spn=US9110849&amp;sx=showpatent_cn&amp;sv=69a7069b068b7cf987b15f18af7f8488","US9110849")</f>
        <v>US9110849</v>
      </c>
      <c r="B276" s="9" t="s">
        <v>1362</v>
      </c>
      <c r="C276" s="9" t="s">
        <v>1363</v>
      </c>
      <c r="D276" s="9" t="s">
        <v>578</v>
      </c>
      <c r="E276" s="9" t="s">
        <v>49</v>
      </c>
      <c r="F276" s="9" t="s">
        <v>1350</v>
      </c>
      <c r="G276" s="9" t="s">
        <v>1350</v>
      </c>
      <c r="H276" s="9" t="s">
        <v>1364</v>
      </c>
      <c r="I276" s="9" t="s">
        <v>1365</v>
      </c>
      <c r="J276" s="9" t="s">
        <v>1366</v>
      </c>
      <c r="K276" s="9" t="s">
        <v>714</v>
      </c>
      <c r="L276" s="9" t="s">
        <v>1360</v>
      </c>
      <c r="M276" s="9">
        <v>38</v>
      </c>
      <c r="N276" s="9">
        <v>10</v>
      </c>
      <c r="O276" s="9" t="s">
        <v>57</v>
      </c>
      <c r="P276" s="9" t="s">
        <v>58</v>
      </c>
      <c r="Q276" s="9">
        <v>85</v>
      </c>
      <c r="R276" s="9">
        <v>19</v>
      </c>
      <c r="S276" s="9">
        <v>66</v>
      </c>
      <c r="T276" s="9">
        <v>38</v>
      </c>
      <c r="U276" s="9">
        <v>0</v>
      </c>
      <c r="V276" s="9" t="s">
        <v>114</v>
      </c>
      <c r="W276" s="9">
        <v>0</v>
      </c>
      <c r="X276" s="9">
        <v>0</v>
      </c>
      <c r="Y276" s="9">
        <v>0</v>
      </c>
      <c r="Z276" s="9">
        <v>0</v>
      </c>
      <c r="AA276" s="9">
        <v>10</v>
      </c>
      <c r="AB276" s="9">
        <v>6</v>
      </c>
      <c r="AC276" s="9">
        <v>14</v>
      </c>
      <c r="AD276" s="9" t="s">
        <v>0</v>
      </c>
      <c r="AE276" s="9" t="s">
        <v>60</v>
      </c>
    </row>
    <row r="277" spans="1:31" ht="63.75" x14ac:dyDescent="0.2">
      <c r="A277" s="8" t="str">
        <f>HYPERLINK("http://www.patentics.cn/invokexml.do?sx=showpatent_cn&amp;sf=ShowPatent&amp;spn=US9118898&amp;sx=showpatent_cn&amp;sv=aedcb426609a738c292537ec6d687aab","US9118898")</f>
        <v>US9118898</v>
      </c>
      <c r="B277" s="9" t="s">
        <v>1367</v>
      </c>
      <c r="C277" s="9" t="s">
        <v>1368</v>
      </c>
      <c r="D277" s="9" t="s">
        <v>117</v>
      </c>
      <c r="E277" s="9" t="s">
        <v>49</v>
      </c>
      <c r="F277" s="9" t="s">
        <v>1356</v>
      </c>
      <c r="G277" s="9" t="s">
        <v>1350</v>
      </c>
      <c r="H277" s="9" t="s">
        <v>1357</v>
      </c>
      <c r="I277" s="9" t="s">
        <v>1358</v>
      </c>
      <c r="J277" s="9" t="s">
        <v>445</v>
      </c>
      <c r="K277" s="9" t="s">
        <v>714</v>
      </c>
      <c r="L277" s="9" t="s">
        <v>1360</v>
      </c>
      <c r="M277" s="9">
        <v>27</v>
      </c>
      <c r="N277" s="9">
        <v>20</v>
      </c>
      <c r="O277" s="9" t="s">
        <v>57</v>
      </c>
      <c r="P277" s="9" t="s">
        <v>58</v>
      </c>
      <c r="Q277" s="9">
        <v>86</v>
      </c>
      <c r="R277" s="9">
        <v>20</v>
      </c>
      <c r="S277" s="9">
        <v>66</v>
      </c>
      <c r="T277" s="9">
        <v>38</v>
      </c>
      <c r="U277" s="9">
        <v>0</v>
      </c>
      <c r="V277" s="9" t="s">
        <v>114</v>
      </c>
      <c r="W277" s="9">
        <v>0</v>
      </c>
      <c r="X277" s="9">
        <v>0</v>
      </c>
      <c r="Y277" s="9">
        <v>0</v>
      </c>
      <c r="Z277" s="9">
        <v>0</v>
      </c>
      <c r="AA277" s="9">
        <v>21</v>
      </c>
      <c r="AB277" s="9">
        <v>8</v>
      </c>
      <c r="AC277" s="9">
        <v>14</v>
      </c>
      <c r="AD277" s="9" t="s">
        <v>0</v>
      </c>
      <c r="AE277" s="9" t="s">
        <v>60</v>
      </c>
    </row>
    <row r="278" spans="1:31" ht="76.5" x14ac:dyDescent="0.2">
      <c r="A278" s="8" t="str">
        <f>HYPERLINK("http://www.patentics.cn/invokexml.do?sx=showpatent_cn&amp;sf=ShowPatent&amp;spn=US9319685&amp;sx=showpatent_cn&amp;sv=5561398fecf99ee4390dd278c92a0375","US9319685")</f>
        <v>US9319685</v>
      </c>
      <c r="B278" s="9" t="s">
        <v>1369</v>
      </c>
      <c r="C278" s="9" t="s">
        <v>1370</v>
      </c>
      <c r="D278" s="9" t="s">
        <v>48</v>
      </c>
      <c r="E278" s="9" t="s">
        <v>49</v>
      </c>
      <c r="F278" s="9" t="s">
        <v>1371</v>
      </c>
      <c r="G278" s="9" t="s">
        <v>1350</v>
      </c>
      <c r="H278" s="9" t="s">
        <v>1357</v>
      </c>
      <c r="I278" s="9" t="s">
        <v>604</v>
      </c>
      <c r="J278" s="9" t="s">
        <v>1372</v>
      </c>
      <c r="K278" s="9" t="s">
        <v>714</v>
      </c>
      <c r="L278" s="9" t="s">
        <v>1360</v>
      </c>
      <c r="M278" s="9">
        <v>30</v>
      </c>
      <c r="N278" s="9">
        <v>20</v>
      </c>
      <c r="O278" s="9" t="s">
        <v>57</v>
      </c>
      <c r="P278" s="9" t="s">
        <v>58</v>
      </c>
      <c r="Q278" s="9">
        <v>84</v>
      </c>
      <c r="R278" s="9">
        <v>19</v>
      </c>
      <c r="S278" s="9">
        <v>65</v>
      </c>
      <c r="T278" s="9">
        <v>38</v>
      </c>
      <c r="U278" s="9">
        <v>0</v>
      </c>
      <c r="V278" s="9" t="s">
        <v>114</v>
      </c>
      <c r="W278" s="9">
        <v>0</v>
      </c>
      <c r="X278" s="9">
        <v>0</v>
      </c>
      <c r="Y278" s="9">
        <v>0</v>
      </c>
      <c r="Z278" s="9">
        <v>0</v>
      </c>
      <c r="AA278" s="9">
        <v>21</v>
      </c>
      <c r="AB278" s="9">
        <v>8</v>
      </c>
      <c r="AC278" s="9">
        <v>14</v>
      </c>
      <c r="AD278" s="9" t="s">
        <v>0</v>
      </c>
      <c r="AE278" s="9" t="s">
        <v>60</v>
      </c>
    </row>
    <row r="279" spans="1:31" ht="51" x14ac:dyDescent="0.2">
      <c r="A279" s="6" t="str">
        <f>HYPERLINK("http://www.patentics.cn/invokexml.do?sx=showpatent_cn&amp;sf=ShowPatent&amp;spn=CN1828223&amp;sx=showpatent_cn&amp;sv=8b510c24b85c87b565116d3bbb393528","CN1828223")</f>
        <v>CN1828223</v>
      </c>
      <c r="B279" s="7" t="s">
        <v>1373</v>
      </c>
      <c r="C279" s="7" t="s">
        <v>1374</v>
      </c>
      <c r="D279" s="7" t="s">
        <v>1225</v>
      </c>
      <c r="E279" s="7" t="s">
        <v>1225</v>
      </c>
      <c r="F279" s="7" t="s">
        <v>1375</v>
      </c>
      <c r="G279" s="7" t="s">
        <v>1376</v>
      </c>
      <c r="H279" s="7" t="s">
        <v>1377</v>
      </c>
      <c r="I279" s="7" t="s">
        <v>1377</v>
      </c>
      <c r="J279" s="7" t="s">
        <v>1378</v>
      </c>
      <c r="K279" s="7" t="s">
        <v>937</v>
      </c>
      <c r="L279" s="7" t="s">
        <v>1379</v>
      </c>
      <c r="M279" s="7">
        <v>7</v>
      </c>
      <c r="N279" s="7">
        <v>23</v>
      </c>
      <c r="O279" s="7" t="s">
        <v>42</v>
      </c>
      <c r="P279" s="7" t="s">
        <v>43</v>
      </c>
      <c r="Q279" s="7">
        <v>0</v>
      </c>
      <c r="R279" s="7">
        <v>0</v>
      </c>
      <c r="S279" s="7">
        <v>0</v>
      </c>
      <c r="T279" s="7">
        <v>0</v>
      </c>
      <c r="U279" s="7">
        <v>20</v>
      </c>
      <c r="V279" s="7" t="s">
        <v>1380</v>
      </c>
      <c r="W279" s="7">
        <v>4</v>
      </c>
      <c r="X279" s="7">
        <v>16</v>
      </c>
      <c r="Y279" s="7">
        <v>8</v>
      </c>
      <c r="Z279" s="7">
        <v>3</v>
      </c>
      <c r="AA279" s="7">
        <v>1</v>
      </c>
      <c r="AB279" s="7">
        <v>1</v>
      </c>
      <c r="AC279" s="7" t="s">
        <v>0</v>
      </c>
      <c r="AD279" s="7">
        <v>6</v>
      </c>
      <c r="AE279" s="7" t="s">
        <v>532</v>
      </c>
    </row>
    <row r="280" spans="1:31" ht="102" x14ac:dyDescent="0.2">
      <c r="A280" s="8" t="str">
        <f>HYPERLINK("http://www.patentics.cn/invokexml.do?sx=showpatent_cn&amp;sf=ShowPatent&amp;spn=US9032796&amp;sx=showpatent_cn&amp;sv=87e0f24e87b333f8a65e63f68ac4647a","US9032796")</f>
        <v>US9032796</v>
      </c>
      <c r="B280" s="9" t="s">
        <v>1202</v>
      </c>
      <c r="C280" s="9" t="s">
        <v>1203</v>
      </c>
      <c r="D280" s="9" t="s">
        <v>617</v>
      </c>
      <c r="E280" s="9" t="s">
        <v>49</v>
      </c>
      <c r="F280" s="9" t="s">
        <v>1204</v>
      </c>
      <c r="G280" s="9" t="s">
        <v>1197</v>
      </c>
      <c r="H280" s="9" t="s">
        <v>1120</v>
      </c>
      <c r="I280" s="9" t="s">
        <v>1198</v>
      </c>
      <c r="J280" s="9" t="s">
        <v>176</v>
      </c>
      <c r="K280" s="9" t="s">
        <v>1200</v>
      </c>
      <c r="L280" s="9" t="s">
        <v>1201</v>
      </c>
      <c r="M280" s="9">
        <v>18</v>
      </c>
      <c r="N280" s="9">
        <v>10</v>
      </c>
      <c r="O280" s="9" t="s">
        <v>57</v>
      </c>
      <c r="P280" s="9" t="s">
        <v>58</v>
      </c>
      <c r="Q280" s="9">
        <v>123</v>
      </c>
      <c r="R280" s="9">
        <v>15</v>
      </c>
      <c r="S280" s="9">
        <v>108</v>
      </c>
      <c r="T280" s="9">
        <v>59</v>
      </c>
      <c r="U280" s="9">
        <v>5</v>
      </c>
      <c r="V280" s="9" t="s">
        <v>98</v>
      </c>
      <c r="W280" s="9">
        <v>3</v>
      </c>
      <c r="X280" s="9">
        <v>2</v>
      </c>
      <c r="Y280" s="9">
        <v>3</v>
      </c>
      <c r="Z280" s="9">
        <v>1</v>
      </c>
      <c r="AA280" s="9">
        <v>61</v>
      </c>
      <c r="AB280" s="9">
        <v>7</v>
      </c>
      <c r="AC280" s="9">
        <v>14</v>
      </c>
      <c r="AD280" s="9" t="s">
        <v>0</v>
      </c>
      <c r="AE280" s="9" t="s">
        <v>60</v>
      </c>
    </row>
    <row r="281" spans="1:31" ht="178.5" x14ac:dyDescent="0.2">
      <c r="A281" s="8" t="str">
        <f>HYPERLINK("http://www.patentics.cn/invokexml.do?sx=showpatent_cn&amp;sf=ShowPatent&amp;spn=US9410805&amp;sx=showpatent_cn&amp;sv=e945de5cbe6057cc210a113d52b7e800","US9410805")</f>
        <v>US9410805</v>
      </c>
      <c r="B281" s="9" t="s">
        <v>1205</v>
      </c>
      <c r="C281" s="9" t="s">
        <v>1206</v>
      </c>
      <c r="D281" s="9" t="s">
        <v>617</v>
      </c>
      <c r="E281" s="9" t="s">
        <v>49</v>
      </c>
      <c r="F281" s="9" t="s">
        <v>1207</v>
      </c>
      <c r="G281" s="9" t="s">
        <v>1208</v>
      </c>
      <c r="H281" s="9" t="s">
        <v>1120</v>
      </c>
      <c r="I281" s="9" t="s">
        <v>1209</v>
      </c>
      <c r="J281" s="9" t="s">
        <v>906</v>
      </c>
      <c r="K281" s="9" t="s">
        <v>937</v>
      </c>
      <c r="L281" s="9" t="s">
        <v>1210</v>
      </c>
      <c r="M281" s="9">
        <v>20</v>
      </c>
      <c r="N281" s="9">
        <v>19</v>
      </c>
      <c r="O281" s="9" t="s">
        <v>57</v>
      </c>
      <c r="P281" s="9" t="s">
        <v>58</v>
      </c>
      <c r="Q281" s="9">
        <v>132</v>
      </c>
      <c r="R281" s="9">
        <v>19</v>
      </c>
      <c r="S281" s="9">
        <v>113</v>
      </c>
      <c r="T281" s="9">
        <v>60</v>
      </c>
      <c r="U281" s="9">
        <v>1</v>
      </c>
      <c r="V281" s="9" t="s">
        <v>114</v>
      </c>
      <c r="W281" s="9">
        <v>1</v>
      </c>
      <c r="X281" s="9">
        <v>0</v>
      </c>
      <c r="Y281" s="9">
        <v>1</v>
      </c>
      <c r="Z281" s="9">
        <v>1</v>
      </c>
      <c r="AA281" s="9">
        <v>61</v>
      </c>
      <c r="AB281" s="9">
        <v>7</v>
      </c>
      <c r="AC281" s="9">
        <v>14</v>
      </c>
      <c r="AD281" s="9" t="s">
        <v>0</v>
      </c>
      <c r="AE281" s="9" t="s">
        <v>60</v>
      </c>
    </row>
    <row r="282" spans="1:31" ht="178.5" x14ac:dyDescent="0.2">
      <c r="A282" s="8" t="str">
        <f>HYPERLINK("http://www.patentics.cn/invokexml.do?sx=showpatent_cn&amp;sf=ShowPatent&amp;spn=US9459099&amp;sx=showpatent_cn&amp;sv=fe081b20d003f42b5764e7d98236145d","US9459099")</f>
        <v>US9459099</v>
      </c>
      <c r="B282" s="9" t="s">
        <v>1211</v>
      </c>
      <c r="C282" s="9" t="s">
        <v>1212</v>
      </c>
      <c r="D282" s="9" t="s">
        <v>648</v>
      </c>
      <c r="E282" s="9" t="s">
        <v>49</v>
      </c>
      <c r="F282" s="9" t="s">
        <v>1207</v>
      </c>
      <c r="G282" s="9" t="s">
        <v>1208</v>
      </c>
      <c r="H282" s="9" t="s">
        <v>1120</v>
      </c>
      <c r="I282" s="9" t="s">
        <v>1209</v>
      </c>
      <c r="J282" s="9" t="s">
        <v>283</v>
      </c>
      <c r="K282" s="9" t="s">
        <v>937</v>
      </c>
      <c r="L282" s="9" t="s">
        <v>1210</v>
      </c>
      <c r="M282" s="9">
        <v>20</v>
      </c>
      <c r="N282" s="9">
        <v>15</v>
      </c>
      <c r="O282" s="9" t="s">
        <v>57</v>
      </c>
      <c r="P282" s="9" t="s">
        <v>58</v>
      </c>
      <c r="Q282" s="9">
        <v>131</v>
      </c>
      <c r="R282" s="9">
        <v>19</v>
      </c>
      <c r="S282" s="9">
        <v>112</v>
      </c>
      <c r="T282" s="9">
        <v>60</v>
      </c>
      <c r="U282" s="9">
        <v>1</v>
      </c>
      <c r="V282" s="9" t="s">
        <v>114</v>
      </c>
      <c r="W282" s="9">
        <v>1</v>
      </c>
      <c r="X282" s="9">
        <v>0</v>
      </c>
      <c r="Y282" s="9">
        <v>1</v>
      </c>
      <c r="Z282" s="9">
        <v>1</v>
      </c>
      <c r="AA282" s="9">
        <v>61</v>
      </c>
      <c r="AB282" s="9">
        <v>7</v>
      </c>
      <c r="AC282" s="9">
        <v>14</v>
      </c>
      <c r="AD282" s="9" t="s">
        <v>0</v>
      </c>
      <c r="AE282" s="9" t="s">
        <v>60</v>
      </c>
    </row>
    <row r="283" spans="1:31" ht="178.5" x14ac:dyDescent="0.2">
      <c r="A283" s="8" t="str">
        <f>HYPERLINK("http://www.patentics.cn/invokexml.do?sx=showpatent_cn&amp;sf=ShowPatent&amp;spn=US9605965&amp;sx=showpatent_cn&amp;sv=139e7794b64a85a94e4930a8009922ff","US9605965")</f>
        <v>US9605965</v>
      </c>
      <c r="B283" s="9" t="s">
        <v>1213</v>
      </c>
      <c r="C283" s="9" t="s">
        <v>1212</v>
      </c>
      <c r="D283" s="9" t="s">
        <v>780</v>
      </c>
      <c r="E283" s="9" t="s">
        <v>49</v>
      </c>
      <c r="F283" s="9" t="s">
        <v>1207</v>
      </c>
      <c r="G283" s="9" t="s">
        <v>1208</v>
      </c>
      <c r="H283" s="9" t="s">
        <v>1120</v>
      </c>
      <c r="I283" s="9" t="s">
        <v>1214</v>
      </c>
      <c r="J283" s="9" t="s">
        <v>1215</v>
      </c>
      <c r="K283" s="9" t="s">
        <v>937</v>
      </c>
      <c r="L283" s="9" t="s">
        <v>1210</v>
      </c>
      <c r="M283" s="9">
        <v>19</v>
      </c>
      <c r="N283" s="9">
        <v>18</v>
      </c>
      <c r="O283" s="9" t="s">
        <v>57</v>
      </c>
      <c r="P283" s="9" t="s">
        <v>58</v>
      </c>
      <c r="Q283" s="9">
        <v>134</v>
      </c>
      <c r="R283" s="9">
        <v>21</v>
      </c>
      <c r="S283" s="9">
        <v>113</v>
      </c>
      <c r="T283" s="9">
        <v>60</v>
      </c>
      <c r="U283" s="9">
        <v>0</v>
      </c>
      <c r="V283" s="9" t="s">
        <v>114</v>
      </c>
      <c r="W283" s="9">
        <v>0</v>
      </c>
      <c r="X283" s="9">
        <v>0</v>
      </c>
      <c r="Y283" s="9">
        <v>0</v>
      </c>
      <c r="Z283" s="9">
        <v>0</v>
      </c>
      <c r="AA283" s="9">
        <v>61</v>
      </c>
      <c r="AB283" s="9">
        <v>7</v>
      </c>
      <c r="AC283" s="9">
        <v>14</v>
      </c>
      <c r="AD283" s="9" t="s">
        <v>0</v>
      </c>
      <c r="AE283" s="9" t="s">
        <v>60</v>
      </c>
    </row>
    <row r="284" spans="1:31" ht="76.5" x14ac:dyDescent="0.2">
      <c r="A284" s="8" t="str">
        <f>HYPERLINK("http://www.patentics.cn/invokexml.do?sx=showpatent_cn&amp;sf=ShowPatent&amp;spn=CN102947675B&amp;sx=showpatent_cn&amp;sv=725be20259f4d2895a81e04a337c1f9b","CN102947675B")</f>
        <v>CN102947675B</v>
      </c>
      <c r="B284" s="9" t="s">
        <v>1231</v>
      </c>
      <c r="C284" s="9" t="s">
        <v>1232</v>
      </c>
      <c r="D284" s="9" t="s">
        <v>699</v>
      </c>
      <c r="E284" s="9" t="s">
        <v>301</v>
      </c>
      <c r="F284" s="9" t="s">
        <v>1218</v>
      </c>
      <c r="G284" s="9" t="s">
        <v>1219</v>
      </c>
      <c r="H284" s="9" t="s">
        <v>1120</v>
      </c>
      <c r="I284" s="9" t="s">
        <v>856</v>
      </c>
      <c r="J284" s="9" t="s">
        <v>1233</v>
      </c>
      <c r="K284" s="9" t="s">
        <v>937</v>
      </c>
      <c r="L284" s="9" t="s">
        <v>1221</v>
      </c>
      <c r="M284" s="9">
        <v>26</v>
      </c>
      <c r="N284" s="9">
        <v>18</v>
      </c>
      <c r="O284" s="9" t="s">
        <v>57</v>
      </c>
      <c r="P284" s="9" t="s">
        <v>58</v>
      </c>
      <c r="Q284" s="9">
        <v>2</v>
      </c>
      <c r="R284" s="9">
        <v>0</v>
      </c>
      <c r="S284" s="9">
        <v>2</v>
      </c>
      <c r="T284" s="9">
        <v>1</v>
      </c>
      <c r="U284" s="9">
        <v>0</v>
      </c>
      <c r="V284" s="9" t="s">
        <v>114</v>
      </c>
      <c r="W284" s="9">
        <v>0</v>
      </c>
      <c r="X284" s="9">
        <v>0</v>
      </c>
      <c r="Y284" s="9">
        <v>0</v>
      </c>
      <c r="Z284" s="9">
        <v>0</v>
      </c>
      <c r="AA284" s="9">
        <v>61</v>
      </c>
      <c r="AB284" s="9">
        <v>7</v>
      </c>
      <c r="AC284" s="9">
        <v>14</v>
      </c>
      <c r="AD284" s="9" t="s">
        <v>0</v>
      </c>
      <c r="AE284" s="9" t="s">
        <v>60</v>
      </c>
    </row>
    <row r="285" spans="1:31" ht="76.5" x14ac:dyDescent="0.2">
      <c r="A285" s="8" t="str">
        <f>HYPERLINK("http://www.patentics.cn/invokexml.do?sx=showpatent_cn&amp;sf=ShowPatent&amp;spn=CN102947675&amp;sx=showpatent_cn&amp;sv=5b3bf09521f4db9bf8a31ac2160ddd1b","CN102947675")</f>
        <v>CN102947675</v>
      </c>
      <c r="B285" s="9" t="s">
        <v>1231</v>
      </c>
      <c r="C285" s="9" t="s">
        <v>1232</v>
      </c>
      <c r="D285" s="9" t="s">
        <v>699</v>
      </c>
      <c r="E285" s="9" t="s">
        <v>301</v>
      </c>
      <c r="F285" s="9" t="s">
        <v>1218</v>
      </c>
      <c r="G285" s="9" t="s">
        <v>1219</v>
      </c>
      <c r="H285" s="9" t="s">
        <v>1120</v>
      </c>
      <c r="I285" s="9" t="s">
        <v>856</v>
      </c>
      <c r="J285" s="9" t="s">
        <v>1234</v>
      </c>
      <c r="K285" s="9" t="s">
        <v>937</v>
      </c>
      <c r="L285" s="9" t="s">
        <v>1235</v>
      </c>
      <c r="M285" s="9">
        <v>26</v>
      </c>
      <c r="N285" s="9">
        <v>16</v>
      </c>
      <c r="O285" s="9" t="s">
        <v>42</v>
      </c>
      <c r="P285" s="9" t="s">
        <v>58</v>
      </c>
      <c r="Q285" s="9">
        <v>4</v>
      </c>
      <c r="R285" s="9">
        <v>0</v>
      </c>
      <c r="S285" s="9">
        <v>4</v>
      </c>
      <c r="T285" s="9">
        <v>2</v>
      </c>
      <c r="U285" s="9">
        <v>1</v>
      </c>
      <c r="V285" s="9" t="s">
        <v>1236</v>
      </c>
      <c r="W285" s="9">
        <v>0</v>
      </c>
      <c r="X285" s="9">
        <v>1</v>
      </c>
      <c r="Y285" s="9">
        <v>1</v>
      </c>
      <c r="Z285" s="9">
        <v>1</v>
      </c>
      <c r="AA285" s="9">
        <v>61</v>
      </c>
      <c r="AB285" s="9">
        <v>7</v>
      </c>
      <c r="AC285" s="9">
        <v>14</v>
      </c>
      <c r="AD285" s="9" t="s">
        <v>0</v>
      </c>
      <c r="AE285" s="9" t="s">
        <v>60</v>
      </c>
    </row>
    <row r="286" spans="1:31" x14ac:dyDescent="0.2">
      <c r="A286" s="6" t="str">
        <f>HYPERLINK("http://www.patentics.cn/invokexml.do?sx=showpatent_cn&amp;sf=ShowPatent&amp;spn=CN1801940&amp;sx=showpatent_cn&amp;sv=60ed82eb9a48d2514264025da558c4be","CN1801940")</f>
        <v>CN1801940</v>
      </c>
      <c r="B286" s="7" t="s">
        <v>1381</v>
      </c>
      <c r="C286" s="7" t="s">
        <v>1382</v>
      </c>
      <c r="D286" s="7" t="s">
        <v>1383</v>
      </c>
      <c r="E286" s="7" t="s">
        <v>1383</v>
      </c>
      <c r="F286" s="7" t="s">
        <v>1384</v>
      </c>
      <c r="G286" s="7" t="s">
        <v>1385</v>
      </c>
      <c r="H286" s="7" t="s">
        <v>0</v>
      </c>
      <c r="I286" s="7" t="s">
        <v>1386</v>
      </c>
      <c r="J286" s="7" t="s">
        <v>1387</v>
      </c>
      <c r="K286" s="7" t="s">
        <v>714</v>
      </c>
      <c r="L286" s="7" t="s">
        <v>1388</v>
      </c>
      <c r="M286" s="7">
        <v>29</v>
      </c>
      <c r="N286" s="7">
        <v>12</v>
      </c>
      <c r="O286" s="7" t="s">
        <v>42</v>
      </c>
      <c r="P286" s="7" t="s">
        <v>43</v>
      </c>
      <c r="Q286" s="7">
        <v>0</v>
      </c>
      <c r="R286" s="7">
        <v>0</v>
      </c>
      <c r="S286" s="7">
        <v>0</v>
      </c>
      <c r="T286" s="7">
        <v>0</v>
      </c>
      <c r="U286" s="7">
        <v>7</v>
      </c>
      <c r="V286" s="7" t="s">
        <v>1389</v>
      </c>
      <c r="W286" s="7">
        <v>0</v>
      </c>
      <c r="X286" s="7">
        <v>7</v>
      </c>
      <c r="Y286" s="7">
        <v>2</v>
      </c>
      <c r="Z286" s="7">
        <v>2</v>
      </c>
      <c r="AA286" s="7">
        <v>0</v>
      </c>
      <c r="AB286" s="7">
        <v>0</v>
      </c>
      <c r="AC286" s="7" t="s">
        <v>0</v>
      </c>
      <c r="AD286" s="7">
        <v>6</v>
      </c>
      <c r="AE286" s="7" t="s">
        <v>1390</v>
      </c>
    </row>
    <row r="287" spans="1:31" ht="38.25" x14ac:dyDescent="0.2">
      <c r="A287" s="8" t="str">
        <f>HYPERLINK("http://www.patentics.cn/invokexml.do?sx=showpatent_cn&amp;sf=ShowPatent&amp;spn=US8428133&amp;sx=showpatent_cn&amp;sv=a66e247aa22740837641dbb4124f05bc","US8428133")</f>
        <v>US8428133</v>
      </c>
      <c r="B287" s="9" t="s">
        <v>1391</v>
      </c>
      <c r="C287" s="9" t="s">
        <v>1392</v>
      </c>
      <c r="D287" s="9" t="s">
        <v>48</v>
      </c>
      <c r="E287" s="9" t="s">
        <v>49</v>
      </c>
      <c r="F287" s="9" t="s">
        <v>1393</v>
      </c>
      <c r="G287" s="9" t="s">
        <v>1394</v>
      </c>
      <c r="H287" s="9" t="s">
        <v>1395</v>
      </c>
      <c r="I287" s="9" t="s">
        <v>1396</v>
      </c>
      <c r="J287" s="9" t="s">
        <v>905</v>
      </c>
      <c r="K287" s="9" t="s">
        <v>714</v>
      </c>
      <c r="L287" s="9" t="s">
        <v>1360</v>
      </c>
      <c r="M287" s="9">
        <v>69</v>
      </c>
      <c r="N287" s="9">
        <v>15</v>
      </c>
      <c r="O287" s="9" t="s">
        <v>57</v>
      </c>
      <c r="P287" s="9" t="s">
        <v>58</v>
      </c>
      <c r="Q287" s="9">
        <v>68</v>
      </c>
      <c r="R287" s="9">
        <v>5</v>
      </c>
      <c r="S287" s="9">
        <v>63</v>
      </c>
      <c r="T287" s="9">
        <v>33</v>
      </c>
      <c r="U287" s="9">
        <v>7</v>
      </c>
      <c r="V287" s="9" t="s">
        <v>1397</v>
      </c>
      <c r="W287" s="9">
        <v>3</v>
      </c>
      <c r="X287" s="9">
        <v>4</v>
      </c>
      <c r="Y287" s="9">
        <v>3</v>
      </c>
      <c r="Z287" s="9">
        <v>1</v>
      </c>
      <c r="AA287" s="9">
        <v>76</v>
      </c>
      <c r="AB287" s="9">
        <v>13</v>
      </c>
      <c r="AC287" s="9">
        <v>14</v>
      </c>
      <c r="AD287" s="9" t="s">
        <v>0</v>
      </c>
      <c r="AE287" s="9" t="s">
        <v>60</v>
      </c>
    </row>
    <row r="288" spans="1:31" ht="38.25" x14ac:dyDescent="0.2">
      <c r="A288" s="8" t="str">
        <f>HYPERLINK("http://www.patentics.cn/invokexml.do?sx=showpatent_cn&amp;sf=ShowPatent&amp;spn=US8488668&amp;sx=showpatent_cn&amp;sv=2eb72a696e86a7a871a869d28a842de4","US8488668")</f>
        <v>US8488668</v>
      </c>
      <c r="B288" s="9" t="s">
        <v>1398</v>
      </c>
      <c r="C288" s="9" t="s">
        <v>1399</v>
      </c>
      <c r="D288" s="9" t="s">
        <v>48</v>
      </c>
      <c r="E288" s="9" t="s">
        <v>49</v>
      </c>
      <c r="F288" s="9" t="s">
        <v>1393</v>
      </c>
      <c r="G288" s="9" t="s">
        <v>1394</v>
      </c>
      <c r="H288" s="9" t="s">
        <v>1395</v>
      </c>
      <c r="I288" s="9" t="s">
        <v>1396</v>
      </c>
      <c r="J288" s="9" t="s">
        <v>539</v>
      </c>
      <c r="K288" s="9" t="s">
        <v>714</v>
      </c>
      <c r="L288" s="9" t="s">
        <v>1346</v>
      </c>
      <c r="M288" s="9">
        <v>54</v>
      </c>
      <c r="N288" s="9">
        <v>19</v>
      </c>
      <c r="O288" s="9" t="s">
        <v>57</v>
      </c>
      <c r="P288" s="9" t="s">
        <v>58</v>
      </c>
      <c r="Q288" s="9">
        <v>65</v>
      </c>
      <c r="R288" s="9">
        <v>5</v>
      </c>
      <c r="S288" s="9">
        <v>60</v>
      </c>
      <c r="T288" s="9">
        <v>33</v>
      </c>
      <c r="U288" s="9">
        <v>11</v>
      </c>
      <c r="V288" s="9" t="s">
        <v>1400</v>
      </c>
      <c r="W288" s="9">
        <v>4</v>
      </c>
      <c r="X288" s="9">
        <v>7</v>
      </c>
      <c r="Y288" s="9">
        <v>3</v>
      </c>
      <c r="Z288" s="9">
        <v>2</v>
      </c>
      <c r="AA288" s="9">
        <v>76</v>
      </c>
      <c r="AB288" s="9">
        <v>13</v>
      </c>
      <c r="AC288" s="9">
        <v>14</v>
      </c>
      <c r="AD288" s="9" t="s">
        <v>0</v>
      </c>
      <c r="AE288" s="9" t="s">
        <v>60</v>
      </c>
    </row>
    <row r="289" spans="1:31" ht="38.25" x14ac:dyDescent="0.2">
      <c r="A289" s="8" t="str">
        <f>HYPERLINK("http://www.patentics.cn/invokexml.do?sx=showpatent_cn&amp;sf=ShowPatent&amp;spn=US8520732&amp;sx=showpatent_cn&amp;sv=b3ccf8037004e87501d49d0675a22a84","US8520732")</f>
        <v>US8520732</v>
      </c>
      <c r="B289" s="9" t="s">
        <v>1401</v>
      </c>
      <c r="C289" s="9" t="s">
        <v>1392</v>
      </c>
      <c r="D289" s="9" t="s">
        <v>48</v>
      </c>
      <c r="E289" s="9" t="s">
        <v>49</v>
      </c>
      <c r="F289" s="9" t="s">
        <v>1393</v>
      </c>
      <c r="G289" s="9" t="s">
        <v>1394</v>
      </c>
      <c r="H289" s="9" t="s">
        <v>1395</v>
      </c>
      <c r="I289" s="9" t="s">
        <v>279</v>
      </c>
      <c r="J289" s="9" t="s">
        <v>382</v>
      </c>
      <c r="K289" s="9" t="s">
        <v>714</v>
      </c>
      <c r="L289" s="9" t="s">
        <v>1360</v>
      </c>
      <c r="M289" s="9">
        <v>28</v>
      </c>
      <c r="N289" s="9">
        <v>14</v>
      </c>
      <c r="O289" s="9" t="s">
        <v>57</v>
      </c>
      <c r="P289" s="9" t="s">
        <v>58</v>
      </c>
      <c r="Q289" s="9">
        <v>65</v>
      </c>
      <c r="R289" s="9">
        <v>7</v>
      </c>
      <c r="S289" s="9">
        <v>58</v>
      </c>
      <c r="T289" s="9">
        <v>32</v>
      </c>
      <c r="U289" s="9">
        <v>1</v>
      </c>
      <c r="V289" s="9" t="s">
        <v>114</v>
      </c>
      <c r="W289" s="9">
        <v>1</v>
      </c>
      <c r="X289" s="9">
        <v>0</v>
      </c>
      <c r="Y289" s="9">
        <v>1</v>
      </c>
      <c r="Z289" s="9">
        <v>1</v>
      </c>
      <c r="AA289" s="9">
        <v>76</v>
      </c>
      <c r="AB289" s="9">
        <v>13</v>
      </c>
      <c r="AC289" s="9">
        <v>14</v>
      </c>
      <c r="AD289" s="9" t="s">
        <v>0</v>
      </c>
      <c r="AE289" s="9" t="s">
        <v>60</v>
      </c>
    </row>
    <row r="290" spans="1:31" ht="38.25" x14ac:dyDescent="0.2">
      <c r="A290" s="8" t="str">
        <f>HYPERLINK("http://www.patentics.cn/invokexml.do?sx=showpatent_cn&amp;sf=ShowPatent&amp;spn=US8571104&amp;sx=showpatent_cn&amp;sv=43e76a752bdd21019ba273e3d22f9421","US8571104")</f>
        <v>US8571104</v>
      </c>
      <c r="B290" s="9" t="s">
        <v>1402</v>
      </c>
      <c r="C290" s="9" t="s">
        <v>1403</v>
      </c>
      <c r="D290" s="9" t="s">
        <v>1404</v>
      </c>
      <c r="E290" s="9" t="s">
        <v>49</v>
      </c>
      <c r="F290" s="9" t="s">
        <v>1393</v>
      </c>
      <c r="G290" s="9" t="s">
        <v>1394</v>
      </c>
      <c r="H290" s="9" t="s">
        <v>1395</v>
      </c>
      <c r="I290" s="9" t="s">
        <v>1396</v>
      </c>
      <c r="J290" s="9" t="s">
        <v>1405</v>
      </c>
      <c r="K290" s="9" t="s">
        <v>714</v>
      </c>
      <c r="L290" s="9" t="s">
        <v>1360</v>
      </c>
      <c r="M290" s="9">
        <v>50</v>
      </c>
      <c r="N290" s="9">
        <v>15</v>
      </c>
      <c r="O290" s="9" t="s">
        <v>57</v>
      </c>
      <c r="P290" s="9" t="s">
        <v>58</v>
      </c>
      <c r="Q290" s="9">
        <v>72</v>
      </c>
      <c r="R290" s="9">
        <v>6</v>
      </c>
      <c r="S290" s="9">
        <v>66</v>
      </c>
      <c r="T290" s="9">
        <v>36</v>
      </c>
      <c r="U290" s="9">
        <v>2</v>
      </c>
      <c r="V290" s="9" t="s">
        <v>131</v>
      </c>
      <c r="W290" s="9">
        <v>1</v>
      </c>
      <c r="X290" s="9">
        <v>1</v>
      </c>
      <c r="Y290" s="9">
        <v>2</v>
      </c>
      <c r="Z290" s="9">
        <v>1</v>
      </c>
      <c r="AA290" s="9">
        <v>76</v>
      </c>
      <c r="AB290" s="9">
        <v>13</v>
      </c>
      <c r="AC290" s="9">
        <v>14</v>
      </c>
      <c r="AD290" s="9" t="s">
        <v>0</v>
      </c>
      <c r="AE290" s="9" t="s">
        <v>60</v>
      </c>
    </row>
    <row r="291" spans="1:31" ht="38.25" x14ac:dyDescent="0.2">
      <c r="A291" s="8" t="str">
        <f>HYPERLINK("http://www.patentics.cn/invokexml.do?sx=showpatent_cn&amp;sf=ShowPatent&amp;spn=US8619853&amp;sx=showpatent_cn&amp;sv=41623b75014500420a9531b681cc2cff","US8619853")</f>
        <v>US8619853</v>
      </c>
      <c r="B291" s="9" t="s">
        <v>1406</v>
      </c>
      <c r="C291" s="9" t="s">
        <v>1407</v>
      </c>
      <c r="D291" s="9" t="s">
        <v>48</v>
      </c>
      <c r="E291" s="9" t="s">
        <v>49</v>
      </c>
      <c r="F291" s="9" t="s">
        <v>1393</v>
      </c>
      <c r="G291" s="9" t="s">
        <v>1394</v>
      </c>
      <c r="H291" s="9" t="s">
        <v>1395</v>
      </c>
      <c r="I291" s="9" t="s">
        <v>1396</v>
      </c>
      <c r="J291" s="9" t="s">
        <v>1408</v>
      </c>
      <c r="K291" s="9" t="s">
        <v>714</v>
      </c>
      <c r="L291" s="9" t="s">
        <v>1360</v>
      </c>
      <c r="M291" s="9">
        <v>46</v>
      </c>
      <c r="N291" s="9">
        <v>13</v>
      </c>
      <c r="O291" s="9" t="s">
        <v>57</v>
      </c>
      <c r="P291" s="9" t="s">
        <v>58</v>
      </c>
      <c r="Q291" s="9">
        <v>70</v>
      </c>
      <c r="R291" s="9">
        <v>6</v>
      </c>
      <c r="S291" s="9">
        <v>64</v>
      </c>
      <c r="T291" s="9">
        <v>34</v>
      </c>
      <c r="U291" s="9">
        <v>5</v>
      </c>
      <c r="V291" s="9" t="s">
        <v>1015</v>
      </c>
      <c r="W291" s="9">
        <v>2</v>
      </c>
      <c r="X291" s="9">
        <v>3</v>
      </c>
      <c r="Y291" s="9">
        <v>3</v>
      </c>
      <c r="Z291" s="9">
        <v>1</v>
      </c>
      <c r="AA291" s="9">
        <v>76</v>
      </c>
      <c r="AB291" s="9">
        <v>13</v>
      </c>
      <c r="AC291" s="9">
        <v>14</v>
      </c>
      <c r="AD291" s="9" t="s">
        <v>0</v>
      </c>
      <c r="AE291" s="9" t="s">
        <v>60</v>
      </c>
    </row>
    <row r="292" spans="1:31" ht="38.25" x14ac:dyDescent="0.2">
      <c r="A292" s="8" t="str">
        <f>HYPERLINK("http://www.patentics.cn/invokexml.do?sx=showpatent_cn&amp;sf=ShowPatent&amp;spn=US9578331&amp;sx=showpatent_cn&amp;sv=6d6fd473732298519139a8a773c5363a","US9578331")</f>
        <v>US9578331</v>
      </c>
      <c r="B292" s="9" t="s">
        <v>1409</v>
      </c>
      <c r="C292" s="9" t="s">
        <v>1407</v>
      </c>
      <c r="D292" s="9" t="s">
        <v>48</v>
      </c>
      <c r="E292" s="9" t="s">
        <v>49</v>
      </c>
      <c r="F292" s="9" t="s">
        <v>1393</v>
      </c>
      <c r="G292" s="9" t="s">
        <v>1394</v>
      </c>
      <c r="H292" s="9" t="s">
        <v>1395</v>
      </c>
      <c r="I292" s="9" t="s">
        <v>1410</v>
      </c>
      <c r="J292" s="9" t="s">
        <v>1411</v>
      </c>
      <c r="K292" s="9" t="s">
        <v>714</v>
      </c>
      <c r="L292" s="9" t="s">
        <v>1360</v>
      </c>
      <c r="M292" s="9">
        <v>11</v>
      </c>
      <c r="N292" s="9">
        <v>20</v>
      </c>
      <c r="O292" s="9" t="s">
        <v>57</v>
      </c>
      <c r="P292" s="9" t="s">
        <v>58</v>
      </c>
      <c r="Q292" s="9">
        <v>79</v>
      </c>
      <c r="R292" s="9">
        <v>8</v>
      </c>
      <c r="S292" s="9">
        <v>71</v>
      </c>
      <c r="T292" s="9">
        <v>38</v>
      </c>
      <c r="U292" s="9">
        <v>0</v>
      </c>
      <c r="V292" s="9" t="s">
        <v>114</v>
      </c>
      <c r="W292" s="9">
        <v>0</v>
      </c>
      <c r="X292" s="9">
        <v>0</v>
      </c>
      <c r="Y292" s="9">
        <v>0</v>
      </c>
      <c r="Z292" s="9">
        <v>0</v>
      </c>
      <c r="AA292" s="9">
        <v>76</v>
      </c>
      <c r="AB292" s="9">
        <v>13</v>
      </c>
      <c r="AC292" s="9">
        <v>14</v>
      </c>
      <c r="AD292" s="9" t="s">
        <v>0</v>
      </c>
      <c r="AE292" s="9" t="s">
        <v>60</v>
      </c>
    </row>
    <row r="293" spans="1:31" ht="25.5" x14ac:dyDescent="0.2">
      <c r="A293" s="6" t="str">
        <f>HYPERLINK("http://www.patentics.cn/invokexml.do?sx=showpatent_cn&amp;sf=ShowPatent&amp;spn=CN1289213&amp;sx=showpatent_cn&amp;sv=be5919b1d7c2b4715d9816a4e2f7ebb4","CN1289213")</f>
        <v>CN1289213</v>
      </c>
      <c r="B293" s="7" t="s">
        <v>1412</v>
      </c>
      <c r="C293" s="7" t="s">
        <v>1413</v>
      </c>
      <c r="D293" s="7" t="s">
        <v>1383</v>
      </c>
      <c r="E293" s="7" t="s">
        <v>1383</v>
      </c>
      <c r="F293" s="7" t="s">
        <v>1414</v>
      </c>
      <c r="G293" s="7" t="s">
        <v>1385</v>
      </c>
      <c r="H293" s="7" t="s">
        <v>1415</v>
      </c>
      <c r="I293" s="7" t="s">
        <v>1415</v>
      </c>
      <c r="J293" s="7" t="s">
        <v>1416</v>
      </c>
      <c r="K293" s="7" t="s">
        <v>714</v>
      </c>
      <c r="L293" s="7" t="s">
        <v>1388</v>
      </c>
      <c r="M293" s="7">
        <v>8</v>
      </c>
      <c r="N293" s="7">
        <v>17</v>
      </c>
      <c r="O293" s="7" t="s">
        <v>42</v>
      </c>
      <c r="P293" s="7" t="s">
        <v>43</v>
      </c>
      <c r="Q293" s="7">
        <v>0</v>
      </c>
      <c r="R293" s="7">
        <v>0</v>
      </c>
      <c r="S293" s="7">
        <v>0</v>
      </c>
      <c r="T293" s="7">
        <v>0</v>
      </c>
      <c r="U293" s="7">
        <v>16</v>
      </c>
      <c r="V293" s="7" t="s">
        <v>1417</v>
      </c>
      <c r="W293" s="7">
        <v>0</v>
      </c>
      <c r="X293" s="7">
        <v>16</v>
      </c>
      <c r="Y293" s="7">
        <v>7</v>
      </c>
      <c r="Z293" s="7">
        <v>3</v>
      </c>
      <c r="AA293" s="7">
        <v>1</v>
      </c>
      <c r="AB293" s="7">
        <v>1</v>
      </c>
      <c r="AC293" s="7" t="s">
        <v>0</v>
      </c>
      <c r="AD293" s="7">
        <v>6</v>
      </c>
      <c r="AE293" s="7" t="s">
        <v>532</v>
      </c>
    </row>
    <row r="294" spans="1:31" ht="38.25" x14ac:dyDescent="0.2">
      <c r="A294" s="8" t="str">
        <f>HYPERLINK("http://www.patentics.cn/invokexml.do?sx=showpatent_cn&amp;sf=ShowPatent&amp;spn=US8428133&amp;sx=showpatent_cn&amp;sv=a66e247aa22740837641dbb4124f05bc","US8428133")</f>
        <v>US8428133</v>
      </c>
      <c r="B294" s="9" t="s">
        <v>1391</v>
      </c>
      <c r="C294" s="9" t="s">
        <v>1392</v>
      </c>
      <c r="D294" s="9" t="s">
        <v>48</v>
      </c>
      <c r="E294" s="9" t="s">
        <v>49</v>
      </c>
      <c r="F294" s="9" t="s">
        <v>1393</v>
      </c>
      <c r="G294" s="9" t="s">
        <v>1394</v>
      </c>
      <c r="H294" s="9" t="s">
        <v>1395</v>
      </c>
      <c r="I294" s="9" t="s">
        <v>1396</v>
      </c>
      <c r="J294" s="9" t="s">
        <v>905</v>
      </c>
      <c r="K294" s="9" t="s">
        <v>714</v>
      </c>
      <c r="L294" s="9" t="s">
        <v>1360</v>
      </c>
      <c r="M294" s="9">
        <v>69</v>
      </c>
      <c r="N294" s="9">
        <v>15</v>
      </c>
      <c r="O294" s="9" t="s">
        <v>57</v>
      </c>
      <c r="P294" s="9" t="s">
        <v>58</v>
      </c>
      <c r="Q294" s="9">
        <v>68</v>
      </c>
      <c r="R294" s="9">
        <v>5</v>
      </c>
      <c r="S294" s="9">
        <v>63</v>
      </c>
      <c r="T294" s="9">
        <v>33</v>
      </c>
      <c r="U294" s="9">
        <v>7</v>
      </c>
      <c r="V294" s="9" t="s">
        <v>1397</v>
      </c>
      <c r="W294" s="9">
        <v>3</v>
      </c>
      <c r="X294" s="9">
        <v>4</v>
      </c>
      <c r="Y294" s="9">
        <v>3</v>
      </c>
      <c r="Z294" s="9">
        <v>1</v>
      </c>
      <c r="AA294" s="9">
        <v>76</v>
      </c>
      <c r="AB294" s="9">
        <v>13</v>
      </c>
      <c r="AC294" s="9">
        <v>14</v>
      </c>
      <c r="AD294" s="9" t="s">
        <v>0</v>
      </c>
      <c r="AE294" s="9" t="s">
        <v>60</v>
      </c>
    </row>
    <row r="295" spans="1:31" ht="38.25" x14ac:dyDescent="0.2">
      <c r="A295" s="8" t="str">
        <f>HYPERLINK("http://www.patentics.cn/invokexml.do?sx=showpatent_cn&amp;sf=ShowPatent&amp;spn=US8488668&amp;sx=showpatent_cn&amp;sv=2eb72a696e86a7a871a869d28a842de4","US8488668")</f>
        <v>US8488668</v>
      </c>
      <c r="B295" s="9" t="s">
        <v>1398</v>
      </c>
      <c r="C295" s="9" t="s">
        <v>1399</v>
      </c>
      <c r="D295" s="9" t="s">
        <v>48</v>
      </c>
      <c r="E295" s="9" t="s">
        <v>49</v>
      </c>
      <c r="F295" s="9" t="s">
        <v>1393</v>
      </c>
      <c r="G295" s="9" t="s">
        <v>1394</v>
      </c>
      <c r="H295" s="9" t="s">
        <v>1395</v>
      </c>
      <c r="I295" s="9" t="s">
        <v>1396</v>
      </c>
      <c r="J295" s="9" t="s">
        <v>539</v>
      </c>
      <c r="K295" s="9" t="s">
        <v>714</v>
      </c>
      <c r="L295" s="9" t="s">
        <v>1346</v>
      </c>
      <c r="M295" s="9">
        <v>54</v>
      </c>
      <c r="N295" s="9">
        <v>19</v>
      </c>
      <c r="O295" s="9" t="s">
        <v>57</v>
      </c>
      <c r="P295" s="9" t="s">
        <v>58</v>
      </c>
      <c r="Q295" s="9">
        <v>65</v>
      </c>
      <c r="R295" s="9">
        <v>5</v>
      </c>
      <c r="S295" s="9">
        <v>60</v>
      </c>
      <c r="T295" s="9">
        <v>33</v>
      </c>
      <c r="U295" s="9">
        <v>11</v>
      </c>
      <c r="V295" s="9" t="s">
        <v>1400</v>
      </c>
      <c r="W295" s="9">
        <v>4</v>
      </c>
      <c r="X295" s="9">
        <v>7</v>
      </c>
      <c r="Y295" s="9">
        <v>3</v>
      </c>
      <c r="Z295" s="9">
        <v>2</v>
      </c>
      <c r="AA295" s="9">
        <v>76</v>
      </c>
      <c r="AB295" s="9">
        <v>13</v>
      </c>
      <c r="AC295" s="9">
        <v>14</v>
      </c>
      <c r="AD295" s="9" t="s">
        <v>0</v>
      </c>
      <c r="AE295" s="9" t="s">
        <v>60</v>
      </c>
    </row>
    <row r="296" spans="1:31" ht="38.25" x14ac:dyDescent="0.2">
      <c r="A296" s="8" t="str">
        <f>HYPERLINK("http://www.patentics.cn/invokexml.do?sx=showpatent_cn&amp;sf=ShowPatent&amp;spn=US8520732&amp;sx=showpatent_cn&amp;sv=b3ccf8037004e87501d49d0675a22a84","US8520732")</f>
        <v>US8520732</v>
      </c>
      <c r="B296" s="9" t="s">
        <v>1401</v>
      </c>
      <c r="C296" s="9" t="s">
        <v>1392</v>
      </c>
      <c r="D296" s="9" t="s">
        <v>48</v>
      </c>
      <c r="E296" s="9" t="s">
        <v>49</v>
      </c>
      <c r="F296" s="9" t="s">
        <v>1393</v>
      </c>
      <c r="G296" s="9" t="s">
        <v>1394</v>
      </c>
      <c r="H296" s="9" t="s">
        <v>1395</v>
      </c>
      <c r="I296" s="9" t="s">
        <v>279</v>
      </c>
      <c r="J296" s="9" t="s">
        <v>382</v>
      </c>
      <c r="K296" s="9" t="s">
        <v>714</v>
      </c>
      <c r="L296" s="9" t="s">
        <v>1360</v>
      </c>
      <c r="M296" s="9">
        <v>28</v>
      </c>
      <c r="N296" s="9">
        <v>14</v>
      </c>
      <c r="O296" s="9" t="s">
        <v>57</v>
      </c>
      <c r="P296" s="9" t="s">
        <v>58</v>
      </c>
      <c r="Q296" s="9">
        <v>65</v>
      </c>
      <c r="R296" s="9">
        <v>7</v>
      </c>
      <c r="S296" s="9">
        <v>58</v>
      </c>
      <c r="T296" s="9">
        <v>32</v>
      </c>
      <c r="U296" s="9">
        <v>1</v>
      </c>
      <c r="V296" s="9" t="s">
        <v>114</v>
      </c>
      <c r="W296" s="9">
        <v>1</v>
      </c>
      <c r="X296" s="9">
        <v>0</v>
      </c>
      <c r="Y296" s="9">
        <v>1</v>
      </c>
      <c r="Z296" s="9">
        <v>1</v>
      </c>
      <c r="AA296" s="9">
        <v>76</v>
      </c>
      <c r="AB296" s="9">
        <v>13</v>
      </c>
      <c r="AC296" s="9">
        <v>14</v>
      </c>
      <c r="AD296" s="9" t="s">
        <v>0</v>
      </c>
      <c r="AE296" s="9" t="s">
        <v>60</v>
      </c>
    </row>
    <row r="297" spans="1:31" ht="38.25" x14ac:dyDescent="0.2">
      <c r="A297" s="8" t="str">
        <f>HYPERLINK("http://www.patentics.cn/invokexml.do?sx=showpatent_cn&amp;sf=ShowPatent&amp;spn=US8571104&amp;sx=showpatent_cn&amp;sv=43e76a752bdd21019ba273e3d22f9421","US8571104")</f>
        <v>US8571104</v>
      </c>
      <c r="B297" s="9" t="s">
        <v>1402</v>
      </c>
      <c r="C297" s="9" t="s">
        <v>1403</v>
      </c>
      <c r="D297" s="9" t="s">
        <v>1404</v>
      </c>
      <c r="E297" s="9" t="s">
        <v>49</v>
      </c>
      <c r="F297" s="9" t="s">
        <v>1393</v>
      </c>
      <c r="G297" s="9" t="s">
        <v>1394</v>
      </c>
      <c r="H297" s="9" t="s">
        <v>1395</v>
      </c>
      <c r="I297" s="9" t="s">
        <v>1396</v>
      </c>
      <c r="J297" s="9" t="s">
        <v>1405</v>
      </c>
      <c r="K297" s="9" t="s">
        <v>714</v>
      </c>
      <c r="L297" s="9" t="s">
        <v>1360</v>
      </c>
      <c r="M297" s="9">
        <v>50</v>
      </c>
      <c r="N297" s="9">
        <v>15</v>
      </c>
      <c r="O297" s="9" t="s">
        <v>57</v>
      </c>
      <c r="P297" s="9" t="s">
        <v>58</v>
      </c>
      <c r="Q297" s="9">
        <v>72</v>
      </c>
      <c r="R297" s="9">
        <v>6</v>
      </c>
      <c r="S297" s="9">
        <v>66</v>
      </c>
      <c r="T297" s="9">
        <v>36</v>
      </c>
      <c r="U297" s="9">
        <v>2</v>
      </c>
      <c r="V297" s="9" t="s">
        <v>131</v>
      </c>
      <c r="W297" s="9">
        <v>1</v>
      </c>
      <c r="X297" s="9">
        <v>1</v>
      </c>
      <c r="Y297" s="9">
        <v>2</v>
      </c>
      <c r="Z297" s="9">
        <v>1</v>
      </c>
      <c r="AA297" s="9">
        <v>76</v>
      </c>
      <c r="AB297" s="9">
        <v>13</v>
      </c>
      <c r="AC297" s="9">
        <v>14</v>
      </c>
      <c r="AD297" s="9" t="s">
        <v>0</v>
      </c>
      <c r="AE297" s="9" t="s">
        <v>60</v>
      </c>
    </row>
    <row r="298" spans="1:31" ht="38.25" x14ac:dyDescent="0.2">
      <c r="A298" s="8" t="str">
        <f>HYPERLINK("http://www.patentics.cn/invokexml.do?sx=showpatent_cn&amp;sf=ShowPatent&amp;spn=US8619853&amp;sx=showpatent_cn&amp;sv=41623b75014500420a9531b681cc2cff","US8619853")</f>
        <v>US8619853</v>
      </c>
      <c r="B298" s="9" t="s">
        <v>1406</v>
      </c>
      <c r="C298" s="9" t="s">
        <v>1407</v>
      </c>
      <c r="D298" s="9" t="s">
        <v>48</v>
      </c>
      <c r="E298" s="9" t="s">
        <v>49</v>
      </c>
      <c r="F298" s="9" t="s">
        <v>1393</v>
      </c>
      <c r="G298" s="9" t="s">
        <v>1394</v>
      </c>
      <c r="H298" s="9" t="s">
        <v>1395</v>
      </c>
      <c r="I298" s="9" t="s">
        <v>1396</v>
      </c>
      <c r="J298" s="9" t="s">
        <v>1408</v>
      </c>
      <c r="K298" s="9" t="s">
        <v>714</v>
      </c>
      <c r="L298" s="9" t="s">
        <v>1360</v>
      </c>
      <c r="M298" s="9">
        <v>46</v>
      </c>
      <c r="N298" s="9">
        <v>13</v>
      </c>
      <c r="O298" s="9" t="s">
        <v>57</v>
      </c>
      <c r="P298" s="9" t="s">
        <v>58</v>
      </c>
      <c r="Q298" s="9">
        <v>70</v>
      </c>
      <c r="R298" s="9">
        <v>6</v>
      </c>
      <c r="S298" s="9">
        <v>64</v>
      </c>
      <c r="T298" s="9">
        <v>34</v>
      </c>
      <c r="U298" s="9">
        <v>5</v>
      </c>
      <c r="V298" s="9" t="s">
        <v>1015</v>
      </c>
      <c r="W298" s="9">
        <v>2</v>
      </c>
      <c r="X298" s="9">
        <v>3</v>
      </c>
      <c r="Y298" s="9">
        <v>3</v>
      </c>
      <c r="Z298" s="9">
        <v>1</v>
      </c>
      <c r="AA298" s="9">
        <v>76</v>
      </c>
      <c r="AB298" s="9">
        <v>13</v>
      </c>
      <c r="AC298" s="9">
        <v>14</v>
      </c>
      <c r="AD298" s="9" t="s">
        <v>0</v>
      </c>
      <c r="AE298" s="9" t="s">
        <v>60</v>
      </c>
    </row>
    <row r="299" spans="1:31" ht="38.25" x14ac:dyDescent="0.2">
      <c r="A299" s="8" t="str">
        <f>HYPERLINK("http://www.patentics.cn/invokexml.do?sx=showpatent_cn&amp;sf=ShowPatent&amp;spn=US9578331&amp;sx=showpatent_cn&amp;sv=6d6fd473732298519139a8a773c5363a","US9578331")</f>
        <v>US9578331</v>
      </c>
      <c r="B299" s="9" t="s">
        <v>1409</v>
      </c>
      <c r="C299" s="9" t="s">
        <v>1407</v>
      </c>
      <c r="D299" s="9" t="s">
        <v>48</v>
      </c>
      <c r="E299" s="9" t="s">
        <v>49</v>
      </c>
      <c r="F299" s="9" t="s">
        <v>1393</v>
      </c>
      <c r="G299" s="9" t="s">
        <v>1394</v>
      </c>
      <c r="H299" s="9" t="s">
        <v>1395</v>
      </c>
      <c r="I299" s="9" t="s">
        <v>1410</v>
      </c>
      <c r="J299" s="9" t="s">
        <v>1411</v>
      </c>
      <c r="K299" s="9" t="s">
        <v>714</v>
      </c>
      <c r="L299" s="9" t="s">
        <v>1360</v>
      </c>
      <c r="M299" s="9">
        <v>11</v>
      </c>
      <c r="N299" s="9">
        <v>20</v>
      </c>
      <c r="O299" s="9" t="s">
        <v>57</v>
      </c>
      <c r="P299" s="9" t="s">
        <v>58</v>
      </c>
      <c r="Q299" s="9">
        <v>79</v>
      </c>
      <c r="R299" s="9">
        <v>8</v>
      </c>
      <c r="S299" s="9">
        <v>71</v>
      </c>
      <c r="T299" s="9">
        <v>38</v>
      </c>
      <c r="U299" s="9">
        <v>0</v>
      </c>
      <c r="V299" s="9" t="s">
        <v>114</v>
      </c>
      <c r="W299" s="9">
        <v>0</v>
      </c>
      <c r="X299" s="9">
        <v>0</v>
      </c>
      <c r="Y299" s="9">
        <v>0</v>
      </c>
      <c r="Z299" s="9">
        <v>0</v>
      </c>
      <c r="AA299" s="9">
        <v>76</v>
      </c>
      <c r="AB299" s="9">
        <v>13</v>
      </c>
      <c r="AC299" s="9">
        <v>14</v>
      </c>
      <c r="AD299" s="9" t="s">
        <v>0</v>
      </c>
      <c r="AE299" s="9" t="s">
        <v>60</v>
      </c>
    </row>
    <row r="300" spans="1:31" ht="89.25" x14ac:dyDescent="0.2">
      <c r="A300" s="6" t="str">
        <f>HYPERLINK("http://www.patentics.cn/invokexml.do?sx=showpatent_cn&amp;sf=ShowPatent&amp;spn=CN102663409&amp;sx=showpatent_cn&amp;sv=61ecbd03ee2ab7e40eaf90eb346b6e2b","CN102663409")</f>
        <v>CN102663409</v>
      </c>
      <c r="B300" s="7" t="s">
        <v>1418</v>
      </c>
      <c r="C300" s="7" t="s">
        <v>1419</v>
      </c>
      <c r="D300" s="7" t="s">
        <v>1420</v>
      </c>
      <c r="E300" s="7" t="s">
        <v>1420</v>
      </c>
      <c r="F300" s="7" t="s">
        <v>1421</v>
      </c>
      <c r="G300" s="7" t="s">
        <v>1422</v>
      </c>
      <c r="H300" s="7" t="s">
        <v>684</v>
      </c>
      <c r="I300" s="7" t="s">
        <v>684</v>
      </c>
      <c r="J300" s="7" t="s">
        <v>1423</v>
      </c>
      <c r="K300" s="7" t="s">
        <v>529</v>
      </c>
      <c r="L300" s="7" t="s">
        <v>1424</v>
      </c>
      <c r="M300" s="7">
        <v>7</v>
      </c>
      <c r="N300" s="7">
        <v>30</v>
      </c>
      <c r="O300" s="7" t="s">
        <v>42</v>
      </c>
      <c r="P300" s="7" t="s">
        <v>43</v>
      </c>
      <c r="Q300" s="7">
        <v>2</v>
      </c>
      <c r="R300" s="7">
        <v>0</v>
      </c>
      <c r="S300" s="7">
        <v>2</v>
      </c>
      <c r="T300" s="7">
        <v>2</v>
      </c>
      <c r="U300" s="7">
        <v>20</v>
      </c>
      <c r="V300" s="7" t="s">
        <v>1425</v>
      </c>
      <c r="W300" s="7">
        <v>2</v>
      </c>
      <c r="X300" s="7">
        <v>18</v>
      </c>
      <c r="Y300" s="7">
        <v>8</v>
      </c>
      <c r="Z300" s="7">
        <v>3</v>
      </c>
      <c r="AA300" s="7">
        <v>1</v>
      </c>
      <c r="AB300" s="7">
        <v>1</v>
      </c>
      <c r="AC300" s="7" t="s">
        <v>0</v>
      </c>
      <c r="AD300" s="7">
        <v>5</v>
      </c>
      <c r="AE300" s="7" t="s">
        <v>532</v>
      </c>
    </row>
    <row r="301" spans="1:31" ht="102" x14ac:dyDescent="0.2">
      <c r="A301" s="8" t="str">
        <f>HYPERLINK("http://www.patentics.cn/invokexml.do?sx=showpatent_cn&amp;sf=ShowPatent&amp;spn=US9471840&amp;sx=showpatent_cn&amp;sv=2ea87a0ab1864b7e05ec30e5521acc7f","US9471840")</f>
        <v>US9471840</v>
      </c>
      <c r="B301" s="9" t="s">
        <v>1426</v>
      </c>
      <c r="C301" s="9" t="s">
        <v>1427</v>
      </c>
      <c r="D301" s="9" t="s">
        <v>48</v>
      </c>
      <c r="E301" s="9" t="s">
        <v>49</v>
      </c>
      <c r="F301" s="9" t="s">
        <v>1428</v>
      </c>
      <c r="G301" s="9" t="s">
        <v>1429</v>
      </c>
      <c r="H301" s="9" t="s">
        <v>1013</v>
      </c>
      <c r="I301" s="9" t="s">
        <v>1430</v>
      </c>
      <c r="J301" s="9" t="s">
        <v>1431</v>
      </c>
      <c r="K301" s="9" t="s">
        <v>529</v>
      </c>
      <c r="L301" s="9" t="s">
        <v>1432</v>
      </c>
      <c r="M301" s="9">
        <v>30</v>
      </c>
      <c r="N301" s="9">
        <v>18</v>
      </c>
      <c r="O301" s="9" t="s">
        <v>57</v>
      </c>
      <c r="P301" s="9" t="s">
        <v>58</v>
      </c>
      <c r="Q301" s="9">
        <v>48</v>
      </c>
      <c r="R301" s="9">
        <v>6</v>
      </c>
      <c r="S301" s="9">
        <v>42</v>
      </c>
      <c r="T301" s="9">
        <v>35</v>
      </c>
      <c r="U301" s="9">
        <v>0</v>
      </c>
      <c r="V301" s="9" t="s">
        <v>114</v>
      </c>
      <c r="W301" s="9">
        <v>0</v>
      </c>
      <c r="X301" s="9">
        <v>0</v>
      </c>
      <c r="Y301" s="9">
        <v>0</v>
      </c>
      <c r="Z301" s="9">
        <v>0</v>
      </c>
      <c r="AA301" s="9">
        <v>24</v>
      </c>
      <c r="AB301" s="9">
        <v>8</v>
      </c>
      <c r="AC301" s="9">
        <v>14</v>
      </c>
      <c r="AD301" s="9" t="s">
        <v>0</v>
      </c>
      <c r="AE301" s="9" t="s">
        <v>60</v>
      </c>
    </row>
    <row r="302" spans="1:31" ht="114.75" x14ac:dyDescent="0.2">
      <c r="A302" s="8" t="str">
        <f>HYPERLINK("http://www.patentics.cn/invokexml.do?sx=showpatent_cn&amp;sf=ShowPatent&amp;spn=US9554100&amp;sx=showpatent_cn&amp;sv=ebfdb1dfabc639c5f26ce4326338ba8d","US9554100")</f>
        <v>US9554100</v>
      </c>
      <c r="B302" s="9" t="s">
        <v>1433</v>
      </c>
      <c r="C302" s="9" t="s">
        <v>1434</v>
      </c>
      <c r="D302" s="9" t="s">
        <v>578</v>
      </c>
      <c r="E302" s="9" t="s">
        <v>49</v>
      </c>
      <c r="F302" s="9" t="s">
        <v>1435</v>
      </c>
      <c r="G302" s="9" t="s">
        <v>1436</v>
      </c>
      <c r="H302" s="9" t="s">
        <v>1013</v>
      </c>
      <c r="I302" s="9" t="s">
        <v>1437</v>
      </c>
      <c r="J302" s="9" t="s">
        <v>1438</v>
      </c>
      <c r="K302" s="9" t="s">
        <v>714</v>
      </c>
      <c r="L302" s="9" t="s">
        <v>1439</v>
      </c>
      <c r="M302" s="9">
        <v>30</v>
      </c>
      <c r="N302" s="9">
        <v>24</v>
      </c>
      <c r="O302" s="9" t="s">
        <v>57</v>
      </c>
      <c r="P302" s="9" t="s">
        <v>58</v>
      </c>
      <c r="Q302" s="9">
        <v>54</v>
      </c>
      <c r="R302" s="9">
        <v>7</v>
      </c>
      <c r="S302" s="9">
        <v>47</v>
      </c>
      <c r="T302" s="9">
        <v>40</v>
      </c>
      <c r="U302" s="9">
        <v>0</v>
      </c>
      <c r="V302" s="9" t="s">
        <v>114</v>
      </c>
      <c r="W302" s="9">
        <v>0</v>
      </c>
      <c r="X302" s="9">
        <v>0</v>
      </c>
      <c r="Y302" s="9">
        <v>0</v>
      </c>
      <c r="Z302" s="9">
        <v>0</v>
      </c>
      <c r="AA302" s="9">
        <v>24</v>
      </c>
      <c r="AB302" s="9">
        <v>8</v>
      </c>
      <c r="AC302" s="9">
        <v>14</v>
      </c>
      <c r="AD302" s="9" t="s">
        <v>0</v>
      </c>
      <c r="AE302" s="9" t="s">
        <v>60</v>
      </c>
    </row>
    <row r="303" spans="1:31" ht="102" x14ac:dyDescent="0.2">
      <c r="A303" s="8" t="str">
        <f>HYPERLINK("http://www.patentics.cn/invokexml.do?sx=showpatent_cn&amp;sf=ShowPatent&amp;spn=US9582725&amp;sx=showpatent_cn&amp;sv=8786ce4eb38fc63f21336e7d9bacac94","US9582725")</f>
        <v>US9582725</v>
      </c>
      <c r="B303" s="9" t="s">
        <v>1440</v>
      </c>
      <c r="C303" s="9" t="s">
        <v>1441</v>
      </c>
      <c r="D303" s="9" t="s">
        <v>48</v>
      </c>
      <c r="E303" s="9" t="s">
        <v>49</v>
      </c>
      <c r="F303" s="9" t="s">
        <v>1428</v>
      </c>
      <c r="G303" s="9" t="s">
        <v>1429</v>
      </c>
      <c r="H303" s="9" t="s">
        <v>1013</v>
      </c>
      <c r="I303" s="9" t="s">
        <v>1430</v>
      </c>
      <c r="J303" s="9" t="s">
        <v>605</v>
      </c>
      <c r="K303" s="9" t="s">
        <v>529</v>
      </c>
      <c r="L303" s="9" t="s">
        <v>1432</v>
      </c>
      <c r="M303" s="9">
        <v>28</v>
      </c>
      <c r="N303" s="9">
        <v>18</v>
      </c>
      <c r="O303" s="9" t="s">
        <v>57</v>
      </c>
      <c r="P303" s="9" t="s">
        <v>58</v>
      </c>
      <c r="Q303" s="9">
        <v>55</v>
      </c>
      <c r="R303" s="9">
        <v>8</v>
      </c>
      <c r="S303" s="9">
        <v>47</v>
      </c>
      <c r="T303" s="9">
        <v>40</v>
      </c>
      <c r="U303" s="9">
        <v>0</v>
      </c>
      <c r="V303" s="9" t="s">
        <v>114</v>
      </c>
      <c r="W303" s="9">
        <v>0</v>
      </c>
      <c r="X303" s="9">
        <v>0</v>
      </c>
      <c r="Y303" s="9">
        <v>0</v>
      </c>
      <c r="Z303" s="9">
        <v>0</v>
      </c>
      <c r="AA303" s="9">
        <v>24</v>
      </c>
      <c r="AB303" s="9">
        <v>8</v>
      </c>
      <c r="AC303" s="9">
        <v>14</v>
      </c>
      <c r="AD303" s="9" t="s">
        <v>0</v>
      </c>
      <c r="AE303" s="9" t="s">
        <v>60</v>
      </c>
    </row>
    <row r="304" spans="1:31" ht="38.25" x14ac:dyDescent="0.2">
      <c r="A304" s="8" t="str">
        <f>HYPERLINK("http://www.patentics.cn/invokexml.do?sx=showpatent_cn&amp;sf=ShowPatent&amp;spn=US9704056&amp;sx=showpatent_cn&amp;sv=ac65a4cc277f897c74233616c593e3dc","US9704056")</f>
        <v>US9704056</v>
      </c>
      <c r="B304" s="9" t="s">
        <v>1442</v>
      </c>
      <c r="C304" s="9" t="s">
        <v>1443</v>
      </c>
      <c r="D304" s="9" t="s">
        <v>48</v>
      </c>
      <c r="E304" s="9" t="s">
        <v>49</v>
      </c>
      <c r="F304" s="9" t="s">
        <v>1429</v>
      </c>
      <c r="G304" s="9" t="s">
        <v>1429</v>
      </c>
      <c r="H304" s="9" t="s">
        <v>847</v>
      </c>
      <c r="I304" s="9" t="s">
        <v>202</v>
      </c>
      <c r="J304" s="9" t="s">
        <v>1444</v>
      </c>
      <c r="K304" s="9" t="s">
        <v>529</v>
      </c>
      <c r="L304" s="9" t="s">
        <v>1445</v>
      </c>
      <c r="M304" s="9">
        <v>30</v>
      </c>
      <c r="N304" s="9">
        <v>25</v>
      </c>
      <c r="O304" s="9" t="s">
        <v>57</v>
      </c>
      <c r="P304" s="9" t="s">
        <v>58</v>
      </c>
      <c r="Q304" s="9">
        <v>48</v>
      </c>
      <c r="R304" s="9">
        <v>2</v>
      </c>
      <c r="S304" s="9">
        <v>46</v>
      </c>
      <c r="T304" s="9">
        <v>38</v>
      </c>
      <c r="U304" s="9">
        <v>0</v>
      </c>
      <c r="V304" s="9" t="s">
        <v>114</v>
      </c>
      <c r="W304" s="9">
        <v>0</v>
      </c>
      <c r="X304" s="9">
        <v>0</v>
      </c>
      <c r="Y304" s="9">
        <v>0</v>
      </c>
      <c r="Z304" s="9">
        <v>0</v>
      </c>
      <c r="AA304" s="9">
        <v>2</v>
      </c>
      <c r="AB304" s="9">
        <v>2</v>
      </c>
      <c r="AC304" s="9">
        <v>14</v>
      </c>
      <c r="AD304" s="9" t="s">
        <v>0</v>
      </c>
      <c r="AE304" s="9" t="s">
        <v>60</v>
      </c>
    </row>
    <row r="305" spans="1:31" ht="76.5" x14ac:dyDescent="0.2">
      <c r="A305" s="8" t="str">
        <f>HYPERLINK("http://www.patentics.cn/invokexml.do?sx=showpatent_cn&amp;sf=ShowPatent&amp;spn=US9762834&amp;sx=showpatent_cn&amp;sv=4427bd37f2fb9757f909a45fbdfaa8cf","US9762834")</f>
        <v>US9762834</v>
      </c>
      <c r="B305" s="9" t="s">
        <v>1446</v>
      </c>
      <c r="C305" s="9" t="s">
        <v>1447</v>
      </c>
      <c r="D305" s="9" t="s">
        <v>48</v>
      </c>
      <c r="E305" s="9" t="s">
        <v>49</v>
      </c>
      <c r="F305" s="9" t="s">
        <v>1448</v>
      </c>
      <c r="G305" s="9" t="s">
        <v>1429</v>
      </c>
      <c r="H305" s="9" t="s">
        <v>0</v>
      </c>
      <c r="I305" s="9" t="s">
        <v>1449</v>
      </c>
      <c r="J305" s="9" t="s">
        <v>1450</v>
      </c>
      <c r="K305" s="9" t="s">
        <v>714</v>
      </c>
      <c r="L305" s="9" t="s">
        <v>1451</v>
      </c>
      <c r="M305" s="9">
        <v>28</v>
      </c>
      <c r="N305" s="9">
        <v>21</v>
      </c>
      <c r="O305" s="9" t="s">
        <v>57</v>
      </c>
      <c r="P305" s="9" t="s">
        <v>58</v>
      </c>
      <c r="Q305" s="9">
        <v>37</v>
      </c>
      <c r="R305" s="9">
        <v>2</v>
      </c>
      <c r="S305" s="9">
        <v>35</v>
      </c>
      <c r="T305" s="9">
        <v>30</v>
      </c>
      <c r="U305" s="9">
        <v>0</v>
      </c>
      <c r="V305" s="9" t="s">
        <v>114</v>
      </c>
      <c r="W305" s="9">
        <v>0</v>
      </c>
      <c r="X305" s="9">
        <v>0</v>
      </c>
      <c r="Y305" s="9">
        <v>0</v>
      </c>
      <c r="Z305" s="9">
        <v>0</v>
      </c>
      <c r="AA305" s="9">
        <v>0</v>
      </c>
      <c r="AB305" s="9">
        <v>0</v>
      </c>
      <c r="AC305" s="9">
        <v>14</v>
      </c>
      <c r="AD305" s="9" t="s">
        <v>0</v>
      </c>
      <c r="AE305" s="9" t="s">
        <v>60</v>
      </c>
    </row>
    <row r="306" spans="1:31" ht="25.5" x14ac:dyDescent="0.2">
      <c r="A306" s="6" t="str">
        <f>HYPERLINK("http://www.patentics.cn/invokexml.do?sx=showpatent_cn&amp;sf=ShowPatent&amp;spn=CN101592728&amp;sx=showpatent_cn&amp;sv=5dc55a844c64383b315b947b763726b1","CN101592728")</f>
        <v>CN101592728</v>
      </c>
      <c r="B306" s="7" t="s">
        <v>1452</v>
      </c>
      <c r="C306" s="7" t="s">
        <v>1453</v>
      </c>
      <c r="D306" s="7" t="s">
        <v>1054</v>
      </c>
      <c r="E306" s="7" t="s">
        <v>1054</v>
      </c>
      <c r="F306" s="7" t="s">
        <v>1454</v>
      </c>
      <c r="G306" s="7" t="s">
        <v>1455</v>
      </c>
      <c r="H306" s="7" t="s">
        <v>1357</v>
      </c>
      <c r="I306" s="7" t="s">
        <v>1357</v>
      </c>
      <c r="J306" s="7" t="s">
        <v>1456</v>
      </c>
      <c r="K306" s="7" t="s">
        <v>1142</v>
      </c>
      <c r="L306" s="7" t="s">
        <v>1457</v>
      </c>
      <c r="M306" s="7">
        <v>4</v>
      </c>
      <c r="N306" s="7">
        <v>19</v>
      </c>
      <c r="O306" s="7" t="s">
        <v>42</v>
      </c>
      <c r="P306" s="7" t="s">
        <v>43</v>
      </c>
      <c r="Q306" s="7">
        <v>5</v>
      </c>
      <c r="R306" s="7">
        <v>0</v>
      </c>
      <c r="S306" s="7">
        <v>5</v>
      </c>
      <c r="T306" s="7">
        <v>5</v>
      </c>
      <c r="U306" s="7">
        <v>7</v>
      </c>
      <c r="V306" s="7" t="s">
        <v>1458</v>
      </c>
      <c r="W306" s="7">
        <v>0</v>
      </c>
      <c r="X306" s="7">
        <v>7</v>
      </c>
      <c r="Y306" s="7">
        <v>2</v>
      </c>
      <c r="Z306" s="7">
        <v>2</v>
      </c>
      <c r="AA306" s="7">
        <v>1</v>
      </c>
      <c r="AB306" s="7">
        <v>1</v>
      </c>
      <c r="AC306" s="7" t="s">
        <v>0</v>
      </c>
      <c r="AD306" s="7">
        <v>5</v>
      </c>
      <c r="AE306" s="7" t="s">
        <v>532</v>
      </c>
    </row>
    <row r="307" spans="1:31" ht="38.25" x14ac:dyDescent="0.2">
      <c r="A307" s="8" t="str">
        <f>HYPERLINK("http://www.patentics.cn/invokexml.do?sx=showpatent_cn&amp;sf=ShowPatent&amp;spn=US9291697&amp;sx=showpatent_cn&amp;sv=86b1c356221244387b0e7a86165b9c3f","US9291697")</f>
        <v>US9291697</v>
      </c>
      <c r="B307" s="9" t="s">
        <v>1459</v>
      </c>
      <c r="C307" s="9" t="s">
        <v>1460</v>
      </c>
      <c r="D307" s="9" t="s">
        <v>48</v>
      </c>
      <c r="E307" s="9" t="s">
        <v>49</v>
      </c>
      <c r="F307" s="9" t="s">
        <v>1461</v>
      </c>
      <c r="G307" s="9" t="s">
        <v>1462</v>
      </c>
      <c r="H307" s="9" t="s">
        <v>1463</v>
      </c>
      <c r="I307" s="9" t="s">
        <v>820</v>
      </c>
      <c r="J307" s="9" t="s">
        <v>798</v>
      </c>
      <c r="K307" s="9" t="s">
        <v>1464</v>
      </c>
      <c r="L307" s="9" t="s">
        <v>1465</v>
      </c>
      <c r="M307" s="9">
        <v>49</v>
      </c>
      <c r="N307" s="9">
        <v>9</v>
      </c>
      <c r="O307" s="9" t="s">
        <v>57</v>
      </c>
      <c r="P307" s="9" t="s">
        <v>58</v>
      </c>
      <c r="Q307" s="9">
        <v>89</v>
      </c>
      <c r="R307" s="9">
        <v>14</v>
      </c>
      <c r="S307" s="9">
        <v>75</v>
      </c>
      <c r="T307" s="9">
        <v>42</v>
      </c>
      <c r="U307" s="9">
        <v>0</v>
      </c>
      <c r="V307" s="9" t="s">
        <v>114</v>
      </c>
      <c r="W307" s="9">
        <v>0</v>
      </c>
      <c r="X307" s="9">
        <v>0</v>
      </c>
      <c r="Y307" s="9">
        <v>0</v>
      </c>
      <c r="Z307" s="9">
        <v>0</v>
      </c>
      <c r="AA307" s="9">
        <v>24</v>
      </c>
      <c r="AB307" s="9">
        <v>6</v>
      </c>
      <c r="AC307" s="9">
        <v>14</v>
      </c>
      <c r="AD307" s="9" t="s">
        <v>0</v>
      </c>
      <c r="AE307" s="9" t="s">
        <v>60</v>
      </c>
    </row>
    <row r="308" spans="1:31" ht="38.25" x14ac:dyDescent="0.2">
      <c r="A308" s="8" t="str">
        <f>HYPERLINK("http://www.patentics.cn/invokexml.do?sx=showpatent_cn&amp;sf=ShowPatent&amp;spn=US9354295&amp;sx=showpatent_cn&amp;sv=e5722bd9e80dbc3f2254e5e596683f7a","US9354295")</f>
        <v>US9354295</v>
      </c>
      <c r="B308" s="9" t="s">
        <v>1466</v>
      </c>
      <c r="C308" s="9" t="s">
        <v>1467</v>
      </c>
      <c r="D308" s="9" t="s">
        <v>48</v>
      </c>
      <c r="E308" s="9" t="s">
        <v>49</v>
      </c>
      <c r="F308" s="9" t="s">
        <v>1461</v>
      </c>
      <c r="G308" s="9" t="s">
        <v>1462</v>
      </c>
      <c r="H308" s="9" t="s">
        <v>1463</v>
      </c>
      <c r="I308" s="9" t="s">
        <v>820</v>
      </c>
      <c r="J308" s="9" t="s">
        <v>1468</v>
      </c>
      <c r="K308" s="9" t="s">
        <v>1142</v>
      </c>
      <c r="L308" s="9" t="s">
        <v>1469</v>
      </c>
      <c r="M308" s="9">
        <v>38</v>
      </c>
      <c r="N308" s="9">
        <v>7</v>
      </c>
      <c r="O308" s="9" t="s">
        <v>57</v>
      </c>
      <c r="P308" s="9" t="s">
        <v>58</v>
      </c>
      <c r="Q308" s="9">
        <v>92</v>
      </c>
      <c r="R308" s="9">
        <v>14</v>
      </c>
      <c r="S308" s="9">
        <v>78</v>
      </c>
      <c r="T308" s="9">
        <v>43</v>
      </c>
      <c r="U308" s="9">
        <v>0</v>
      </c>
      <c r="V308" s="9" t="s">
        <v>114</v>
      </c>
      <c r="W308" s="9">
        <v>0</v>
      </c>
      <c r="X308" s="9">
        <v>0</v>
      </c>
      <c r="Y308" s="9">
        <v>0</v>
      </c>
      <c r="Z308" s="9">
        <v>0</v>
      </c>
      <c r="AA308" s="9">
        <v>24</v>
      </c>
      <c r="AB308" s="9">
        <v>6</v>
      </c>
      <c r="AC308" s="9">
        <v>14</v>
      </c>
      <c r="AD308" s="9" t="s">
        <v>0</v>
      </c>
      <c r="AE308" s="9" t="s">
        <v>60</v>
      </c>
    </row>
    <row r="309" spans="1:31" ht="38.25" x14ac:dyDescent="0.2">
      <c r="A309" s="8" t="str">
        <f>HYPERLINK("http://www.patentics.cn/invokexml.do?sx=showpatent_cn&amp;sf=ShowPatent&amp;spn=US9360546&amp;sx=showpatent_cn&amp;sv=915a4cb68d3114fbd9804131c8bf01cb","US9360546")</f>
        <v>US9360546</v>
      </c>
      <c r="B309" s="9" t="s">
        <v>1470</v>
      </c>
      <c r="C309" s="9" t="s">
        <v>1471</v>
      </c>
      <c r="D309" s="9" t="s">
        <v>48</v>
      </c>
      <c r="E309" s="9" t="s">
        <v>49</v>
      </c>
      <c r="F309" s="9" t="s">
        <v>1461</v>
      </c>
      <c r="G309" s="9" t="s">
        <v>1462</v>
      </c>
      <c r="H309" s="9" t="s">
        <v>1463</v>
      </c>
      <c r="I309" s="9" t="s">
        <v>820</v>
      </c>
      <c r="J309" s="9" t="s">
        <v>507</v>
      </c>
      <c r="K309" s="9" t="s">
        <v>1464</v>
      </c>
      <c r="L309" s="9" t="s">
        <v>1472</v>
      </c>
      <c r="M309" s="9">
        <v>52</v>
      </c>
      <c r="N309" s="9">
        <v>9</v>
      </c>
      <c r="O309" s="9" t="s">
        <v>57</v>
      </c>
      <c r="P309" s="9" t="s">
        <v>58</v>
      </c>
      <c r="Q309" s="9">
        <v>89</v>
      </c>
      <c r="R309" s="9">
        <v>14</v>
      </c>
      <c r="S309" s="9">
        <v>75</v>
      </c>
      <c r="T309" s="9">
        <v>42</v>
      </c>
      <c r="U309" s="9">
        <v>0</v>
      </c>
      <c r="V309" s="9" t="s">
        <v>114</v>
      </c>
      <c r="W309" s="9">
        <v>0</v>
      </c>
      <c r="X309" s="9">
        <v>0</v>
      </c>
      <c r="Y309" s="9">
        <v>0</v>
      </c>
      <c r="Z309" s="9">
        <v>0</v>
      </c>
      <c r="AA309" s="9">
        <v>24</v>
      </c>
      <c r="AB309" s="9">
        <v>6</v>
      </c>
      <c r="AC309" s="9">
        <v>14</v>
      </c>
      <c r="AD309" s="9" t="s">
        <v>0</v>
      </c>
      <c r="AE309" s="9" t="s">
        <v>60</v>
      </c>
    </row>
    <row r="310" spans="1:31" ht="25.5" x14ac:dyDescent="0.2">
      <c r="A310" s="8" t="str">
        <f>HYPERLINK("http://www.patentics.cn/invokexml.do?sx=showpatent_cn&amp;sf=ShowPatent&amp;spn=CN104220896B&amp;sx=showpatent_cn&amp;sv=c3820aed5609b4a24ea95aebd7abaf9c","CN104220896B")</f>
        <v>CN104220896B</v>
      </c>
      <c r="B310" s="9" t="s">
        <v>1473</v>
      </c>
      <c r="C310" s="9" t="s">
        <v>1474</v>
      </c>
      <c r="D310" s="9" t="s">
        <v>301</v>
      </c>
      <c r="E310" s="9" t="s">
        <v>301</v>
      </c>
      <c r="F310" s="9" t="s">
        <v>1475</v>
      </c>
      <c r="G310" s="9" t="s">
        <v>1476</v>
      </c>
      <c r="H310" s="9" t="s">
        <v>1463</v>
      </c>
      <c r="I310" s="9" t="s">
        <v>1477</v>
      </c>
      <c r="J310" s="9" t="s">
        <v>1478</v>
      </c>
      <c r="K310" s="9" t="s">
        <v>1142</v>
      </c>
      <c r="L310" s="9" t="s">
        <v>1469</v>
      </c>
      <c r="M310" s="9">
        <v>36</v>
      </c>
      <c r="N310" s="9">
        <v>12</v>
      </c>
      <c r="O310" s="9" t="s">
        <v>57</v>
      </c>
      <c r="P310" s="9" t="s">
        <v>58</v>
      </c>
      <c r="Q310" s="9">
        <v>4</v>
      </c>
      <c r="R310" s="9">
        <v>0</v>
      </c>
      <c r="S310" s="9">
        <v>4</v>
      </c>
      <c r="T310" s="9">
        <v>4</v>
      </c>
      <c r="U310" s="9">
        <v>0</v>
      </c>
      <c r="V310" s="9" t="s">
        <v>114</v>
      </c>
      <c r="W310" s="9">
        <v>0</v>
      </c>
      <c r="X310" s="9">
        <v>0</v>
      </c>
      <c r="Y310" s="9">
        <v>0</v>
      </c>
      <c r="Z310" s="9">
        <v>0</v>
      </c>
      <c r="AA310" s="9">
        <v>24</v>
      </c>
      <c r="AB310" s="9">
        <v>6</v>
      </c>
      <c r="AC310" s="9">
        <v>14</v>
      </c>
      <c r="AD310" s="9" t="s">
        <v>0</v>
      </c>
      <c r="AE310" s="9" t="s">
        <v>60</v>
      </c>
    </row>
    <row r="311" spans="1:31" ht="25.5" x14ac:dyDescent="0.2">
      <c r="A311" s="8" t="str">
        <f>HYPERLINK("http://www.patentics.cn/invokexml.do?sx=showpatent_cn&amp;sf=ShowPatent&amp;spn=CN104220896&amp;sx=showpatent_cn&amp;sv=12713e424b047fb8f349806a2b024c10","CN104220896")</f>
        <v>CN104220896</v>
      </c>
      <c r="B311" s="9" t="s">
        <v>1473</v>
      </c>
      <c r="C311" s="9" t="s">
        <v>1474</v>
      </c>
      <c r="D311" s="9" t="s">
        <v>301</v>
      </c>
      <c r="E311" s="9" t="s">
        <v>301</v>
      </c>
      <c r="F311" s="9" t="s">
        <v>1475</v>
      </c>
      <c r="G311" s="9" t="s">
        <v>1476</v>
      </c>
      <c r="H311" s="9" t="s">
        <v>1463</v>
      </c>
      <c r="I311" s="9" t="s">
        <v>1477</v>
      </c>
      <c r="J311" s="9" t="s">
        <v>1479</v>
      </c>
      <c r="K311" s="9" t="s">
        <v>1142</v>
      </c>
      <c r="L311" s="9" t="s">
        <v>1469</v>
      </c>
      <c r="M311" s="9">
        <v>40</v>
      </c>
      <c r="N311" s="9">
        <v>10</v>
      </c>
      <c r="O311" s="9" t="s">
        <v>42</v>
      </c>
      <c r="P311" s="9" t="s">
        <v>58</v>
      </c>
      <c r="Q311" s="9">
        <v>4</v>
      </c>
      <c r="R311" s="9">
        <v>2</v>
      </c>
      <c r="S311" s="9">
        <v>2</v>
      </c>
      <c r="T311" s="9">
        <v>3</v>
      </c>
      <c r="U311" s="9">
        <v>0</v>
      </c>
      <c r="V311" s="9" t="s">
        <v>114</v>
      </c>
      <c r="W311" s="9">
        <v>0</v>
      </c>
      <c r="X311" s="9">
        <v>0</v>
      </c>
      <c r="Y311" s="9">
        <v>0</v>
      </c>
      <c r="Z311" s="9">
        <v>0</v>
      </c>
      <c r="AA311" s="9">
        <v>24</v>
      </c>
      <c r="AB311" s="9">
        <v>6</v>
      </c>
      <c r="AC311" s="9">
        <v>14</v>
      </c>
      <c r="AD311" s="9" t="s">
        <v>0</v>
      </c>
      <c r="AE311" s="9" t="s">
        <v>60</v>
      </c>
    </row>
    <row r="312" spans="1:31" ht="38.25" x14ac:dyDescent="0.2">
      <c r="A312" s="6" t="str">
        <f>HYPERLINK("http://www.patentics.cn/invokexml.do?sx=showpatent_cn&amp;sf=ShowPatent&amp;spn=CN101345054&amp;sx=showpatent_cn&amp;sv=612b2707c5faf6c7054d3f73379b0a66","CN101345054")</f>
        <v>CN101345054</v>
      </c>
      <c r="B312" s="7" t="s">
        <v>1480</v>
      </c>
      <c r="C312" s="7" t="s">
        <v>1481</v>
      </c>
      <c r="D312" s="7" t="s">
        <v>785</v>
      </c>
      <c r="E312" s="7" t="s">
        <v>785</v>
      </c>
      <c r="F312" s="7" t="s">
        <v>1482</v>
      </c>
      <c r="G312" s="7" t="s">
        <v>1483</v>
      </c>
      <c r="H312" s="7" t="s">
        <v>1484</v>
      </c>
      <c r="I312" s="7" t="s">
        <v>1484</v>
      </c>
      <c r="J312" s="7" t="s">
        <v>1485</v>
      </c>
      <c r="K312" s="7" t="s">
        <v>1486</v>
      </c>
      <c r="L312" s="7" t="s">
        <v>1487</v>
      </c>
      <c r="M312" s="7">
        <v>5</v>
      </c>
      <c r="N312" s="7">
        <v>42</v>
      </c>
      <c r="O312" s="7" t="s">
        <v>42</v>
      </c>
      <c r="P312" s="7" t="s">
        <v>43</v>
      </c>
      <c r="Q312" s="7">
        <v>0</v>
      </c>
      <c r="R312" s="7">
        <v>0</v>
      </c>
      <c r="S312" s="7">
        <v>0</v>
      </c>
      <c r="T312" s="7">
        <v>0</v>
      </c>
      <c r="U312" s="7">
        <v>11</v>
      </c>
      <c r="V312" s="7" t="s">
        <v>1488</v>
      </c>
      <c r="W312" s="7">
        <v>0</v>
      </c>
      <c r="X312" s="7">
        <v>11</v>
      </c>
      <c r="Y312" s="7">
        <v>6</v>
      </c>
      <c r="Z312" s="7">
        <v>3</v>
      </c>
      <c r="AA312" s="7">
        <v>1</v>
      </c>
      <c r="AB312" s="7">
        <v>1</v>
      </c>
      <c r="AC312" s="7" t="s">
        <v>0</v>
      </c>
      <c r="AD312" s="7">
        <v>5</v>
      </c>
      <c r="AE312" s="7" t="s">
        <v>532</v>
      </c>
    </row>
    <row r="313" spans="1:31" ht="51" x14ac:dyDescent="0.2">
      <c r="A313" s="8" t="str">
        <f>HYPERLINK("http://www.patentics.cn/invokexml.do?sx=showpatent_cn&amp;sf=ShowPatent&amp;spn=US8880404&amp;sx=showpatent_cn&amp;sv=8f081cf50b3bab5e4c475357ecaec005","US8880404")</f>
        <v>US8880404</v>
      </c>
      <c r="B313" s="9" t="s">
        <v>1489</v>
      </c>
      <c r="C313" s="9" t="s">
        <v>1490</v>
      </c>
      <c r="D313" s="9" t="s">
        <v>48</v>
      </c>
      <c r="E313" s="9" t="s">
        <v>49</v>
      </c>
      <c r="F313" s="9" t="s">
        <v>1491</v>
      </c>
      <c r="G313" s="9" t="s">
        <v>1492</v>
      </c>
      <c r="H313" s="9" t="s">
        <v>1493</v>
      </c>
      <c r="I313" s="9" t="s">
        <v>1494</v>
      </c>
      <c r="J313" s="9" t="s">
        <v>159</v>
      </c>
      <c r="K313" s="9" t="s">
        <v>1486</v>
      </c>
      <c r="L313" s="9" t="s">
        <v>1495</v>
      </c>
      <c r="M313" s="9">
        <v>38</v>
      </c>
      <c r="N313" s="9">
        <v>12</v>
      </c>
      <c r="O313" s="9" t="s">
        <v>57</v>
      </c>
      <c r="P313" s="9" t="s">
        <v>58</v>
      </c>
      <c r="Q313" s="9">
        <v>59</v>
      </c>
      <c r="R313" s="9">
        <v>6</v>
      </c>
      <c r="S313" s="9">
        <v>53</v>
      </c>
      <c r="T313" s="9">
        <v>27</v>
      </c>
      <c r="U313" s="9">
        <v>1</v>
      </c>
      <c r="V313" s="9" t="s">
        <v>515</v>
      </c>
      <c r="W313" s="9">
        <v>1</v>
      </c>
      <c r="X313" s="9">
        <v>0</v>
      </c>
      <c r="Y313" s="9">
        <v>1</v>
      </c>
      <c r="Z313" s="9">
        <v>1</v>
      </c>
      <c r="AA313" s="9">
        <v>14</v>
      </c>
      <c r="AB313" s="9">
        <v>9</v>
      </c>
      <c r="AC313" s="9">
        <v>14</v>
      </c>
      <c r="AD313" s="9" t="s">
        <v>0</v>
      </c>
      <c r="AE313" s="9" t="s">
        <v>60</v>
      </c>
    </row>
    <row r="314" spans="1:31" ht="51" x14ac:dyDescent="0.2">
      <c r="A314" s="8" t="str">
        <f>HYPERLINK("http://www.patentics.cn/invokexml.do?sx=showpatent_cn&amp;sf=ShowPatent&amp;spn=US9767822&amp;sx=showpatent_cn&amp;sv=55e0341af39f27a86ec8252440548598","US9767822")</f>
        <v>US9767822</v>
      </c>
      <c r="B314" s="9" t="s">
        <v>1496</v>
      </c>
      <c r="C314" s="9" t="s">
        <v>1497</v>
      </c>
      <c r="D314" s="9" t="s">
        <v>48</v>
      </c>
      <c r="E314" s="9" t="s">
        <v>49</v>
      </c>
      <c r="F314" s="9" t="s">
        <v>1491</v>
      </c>
      <c r="G314" s="9" t="s">
        <v>1492</v>
      </c>
      <c r="H314" s="9" t="s">
        <v>0</v>
      </c>
      <c r="I314" s="9" t="s">
        <v>1494</v>
      </c>
      <c r="J314" s="9" t="s">
        <v>1498</v>
      </c>
      <c r="K314" s="9" t="s">
        <v>1486</v>
      </c>
      <c r="L314" s="9" t="s">
        <v>1495</v>
      </c>
      <c r="M314" s="9">
        <v>44</v>
      </c>
      <c r="N314" s="9">
        <v>15</v>
      </c>
      <c r="O314" s="9" t="s">
        <v>57</v>
      </c>
      <c r="P314" s="9" t="s">
        <v>58</v>
      </c>
      <c r="Q314" s="9">
        <v>96</v>
      </c>
      <c r="R314" s="9">
        <v>8</v>
      </c>
      <c r="S314" s="9">
        <v>88</v>
      </c>
      <c r="T314" s="9">
        <v>40</v>
      </c>
      <c r="U314" s="9">
        <v>0</v>
      </c>
      <c r="V314" s="9" t="s">
        <v>114</v>
      </c>
      <c r="W314" s="9">
        <v>0</v>
      </c>
      <c r="X314" s="9">
        <v>0</v>
      </c>
      <c r="Y314" s="9">
        <v>0</v>
      </c>
      <c r="Z314" s="9">
        <v>0</v>
      </c>
      <c r="AA314" s="9">
        <v>0</v>
      </c>
      <c r="AB314" s="9">
        <v>0</v>
      </c>
      <c r="AC314" s="9">
        <v>14</v>
      </c>
      <c r="AD314" s="9" t="s">
        <v>0</v>
      </c>
      <c r="AE314" s="9" t="s">
        <v>60</v>
      </c>
    </row>
    <row r="315" spans="1:31" ht="51" x14ac:dyDescent="0.2">
      <c r="A315" s="8" t="str">
        <f>HYPERLINK("http://www.patentics.cn/invokexml.do?sx=showpatent_cn&amp;sf=ShowPatent&amp;spn=US9767823&amp;sx=showpatent_cn&amp;sv=bf3c5f7d01da1ce670fb0ba0d39aaf11","US9767823")</f>
        <v>US9767823</v>
      </c>
      <c r="B315" s="9" t="s">
        <v>1499</v>
      </c>
      <c r="C315" s="9" t="s">
        <v>1500</v>
      </c>
      <c r="D315" s="9" t="s">
        <v>48</v>
      </c>
      <c r="E315" s="9" t="s">
        <v>49</v>
      </c>
      <c r="F315" s="9" t="s">
        <v>1491</v>
      </c>
      <c r="G315" s="9" t="s">
        <v>1492</v>
      </c>
      <c r="H315" s="9" t="s">
        <v>0</v>
      </c>
      <c r="I315" s="9" t="s">
        <v>1494</v>
      </c>
      <c r="J315" s="9" t="s">
        <v>1498</v>
      </c>
      <c r="K315" s="9" t="s">
        <v>1486</v>
      </c>
      <c r="L315" s="9" t="s">
        <v>1495</v>
      </c>
      <c r="M315" s="9">
        <v>30</v>
      </c>
      <c r="N315" s="9">
        <v>20</v>
      </c>
      <c r="O315" s="9" t="s">
        <v>57</v>
      </c>
      <c r="P315" s="9" t="s">
        <v>58</v>
      </c>
      <c r="Q315" s="9">
        <v>95</v>
      </c>
      <c r="R315" s="9">
        <v>6</v>
      </c>
      <c r="S315" s="9">
        <v>89</v>
      </c>
      <c r="T315" s="9">
        <v>43</v>
      </c>
      <c r="U315" s="9">
        <v>0</v>
      </c>
      <c r="V315" s="9" t="s">
        <v>114</v>
      </c>
      <c r="W315" s="9">
        <v>0</v>
      </c>
      <c r="X315" s="9">
        <v>0</v>
      </c>
      <c r="Y315" s="9">
        <v>0</v>
      </c>
      <c r="Z315" s="9">
        <v>0</v>
      </c>
      <c r="AA315" s="9">
        <v>0</v>
      </c>
      <c r="AB315" s="9">
        <v>0</v>
      </c>
      <c r="AC315" s="9">
        <v>14</v>
      </c>
      <c r="AD315" s="9" t="s">
        <v>0</v>
      </c>
      <c r="AE315" s="9" t="s">
        <v>60</v>
      </c>
    </row>
    <row r="316" spans="1:31" ht="51" x14ac:dyDescent="0.2">
      <c r="A316" s="8" t="str">
        <f>HYPERLINK("http://www.patentics.cn/invokexml.do?sx=showpatent_cn&amp;sf=ShowPatent&amp;spn=CN103299366B&amp;sx=showpatent_cn&amp;sv=e6eae6e00a5f0b1f32e186d4718400b9","CN103299366B")</f>
        <v>CN103299366B</v>
      </c>
      <c r="B316" s="9" t="s">
        <v>1501</v>
      </c>
      <c r="C316" s="9" t="s">
        <v>1502</v>
      </c>
      <c r="D316" s="9" t="s">
        <v>301</v>
      </c>
      <c r="E316" s="9" t="s">
        <v>301</v>
      </c>
      <c r="F316" s="9" t="s">
        <v>1503</v>
      </c>
      <c r="G316" s="9" t="s">
        <v>1504</v>
      </c>
      <c r="H316" s="9" t="s">
        <v>1493</v>
      </c>
      <c r="I316" s="9" t="s">
        <v>1505</v>
      </c>
      <c r="J316" s="9" t="s">
        <v>1506</v>
      </c>
      <c r="K316" s="9" t="s">
        <v>1486</v>
      </c>
      <c r="L316" s="9" t="s">
        <v>1507</v>
      </c>
      <c r="M316" s="9">
        <v>22</v>
      </c>
      <c r="N316" s="9">
        <v>12</v>
      </c>
      <c r="O316" s="9" t="s">
        <v>57</v>
      </c>
      <c r="P316" s="9" t="s">
        <v>58</v>
      </c>
      <c r="Q316" s="9">
        <v>3</v>
      </c>
      <c r="R316" s="9">
        <v>0</v>
      </c>
      <c r="S316" s="9">
        <v>3</v>
      </c>
      <c r="T316" s="9">
        <v>3</v>
      </c>
      <c r="U316" s="9">
        <v>0</v>
      </c>
      <c r="V316" s="9" t="s">
        <v>114</v>
      </c>
      <c r="W316" s="9">
        <v>0</v>
      </c>
      <c r="X316" s="9">
        <v>0</v>
      </c>
      <c r="Y316" s="9">
        <v>0</v>
      </c>
      <c r="Z316" s="9">
        <v>0</v>
      </c>
      <c r="AA316" s="9">
        <v>0</v>
      </c>
      <c r="AB316" s="9">
        <v>0</v>
      </c>
      <c r="AC316" s="9">
        <v>14</v>
      </c>
      <c r="AD316" s="9" t="s">
        <v>0</v>
      </c>
      <c r="AE316" s="9" t="s">
        <v>60</v>
      </c>
    </row>
    <row r="317" spans="1:31" ht="51" x14ac:dyDescent="0.2">
      <c r="A317" s="8" t="str">
        <f>HYPERLINK("http://www.patentics.cn/invokexml.do?sx=showpatent_cn&amp;sf=ShowPatent&amp;spn=CN103299366&amp;sx=showpatent_cn&amp;sv=de44311d20590360051a4dc1b7786b77","CN103299366")</f>
        <v>CN103299366</v>
      </c>
      <c r="B317" s="9" t="s">
        <v>1501</v>
      </c>
      <c r="C317" s="9" t="s">
        <v>1502</v>
      </c>
      <c r="D317" s="9" t="s">
        <v>301</v>
      </c>
      <c r="E317" s="9" t="s">
        <v>301</v>
      </c>
      <c r="F317" s="9" t="s">
        <v>1503</v>
      </c>
      <c r="G317" s="9" t="s">
        <v>1504</v>
      </c>
      <c r="H317" s="9" t="s">
        <v>1493</v>
      </c>
      <c r="I317" s="9" t="s">
        <v>1505</v>
      </c>
      <c r="J317" s="9" t="s">
        <v>1508</v>
      </c>
      <c r="K317" s="9" t="s">
        <v>1486</v>
      </c>
      <c r="L317" s="9" t="s">
        <v>1507</v>
      </c>
      <c r="M317" s="9">
        <v>44</v>
      </c>
      <c r="N317" s="9">
        <v>9</v>
      </c>
      <c r="O317" s="9" t="s">
        <v>42</v>
      </c>
      <c r="P317" s="9" t="s">
        <v>58</v>
      </c>
      <c r="Q317" s="9">
        <v>3</v>
      </c>
      <c r="R317" s="9">
        <v>0</v>
      </c>
      <c r="S317" s="9">
        <v>3</v>
      </c>
      <c r="T317" s="9">
        <v>3</v>
      </c>
      <c r="U317" s="9">
        <v>0</v>
      </c>
      <c r="V317" s="9" t="s">
        <v>114</v>
      </c>
      <c r="W317" s="9">
        <v>0</v>
      </c>
      <c r="X317" s="9">
        <v>0</v>
      </c>
      <c r="Y317" s="9">
        <v>0</v>
      </c>
      <c r="Z317" s="9">
        <v>0</v>
      </c>
      <c r="AA317" s="9">
        <v>7</v>
      </c>
      <c r="AB317" s="9">
        <v>7</v>
      </c>
      <c r="AC317" s="9">
        <v>14</v>
      </c>
      <c r="AD317" s="9" t="s">
        <v>0</v>
      </c>
      <c r="AE317" s="9" t="s">
        <v>60</v>
      </c>
    </row>
    <row r="318" spans="1:31" ht="51" x14ac:dyDescent="0.2">
      <c r="A318" s="6" t="str">
        <f>HYPERLINK("http://www.patentics.cn/invokexml.do?sx=showpatent_cn&amp;sf=ShowPatent&amp;spn=CN101271690&amp;sx=showpatent_cn&amp;sv=c0010b9d494ea70a74db21671275595e","CN101271690")</f>
        <v>CN101271690</v>
      </c>
      <c r="B318" s="7" t="s">
        <v>1509</v>
      </c>
      <c r="C318" s="7" t="s">
        <v>1510</v>
      </c>
      <c r="D318" s="7" t="s">
        <v>1511</v>
      </c>
      <c r="E318" s="7" t="s">
        <v>1511</v>
      </c>
      <c r="F318" s="7" t="s">
        <v>1512</v>
      </c>
      <c r="G318" s="7" t="s">
        <v>1513</v>
      </c>
      <c r="H318" s="7" t="s">
        <v>1514</v>
      </c>
      <c r="I318" s="7" t="s">
        <v>1514</v>
      </c>
      <c r="J318" s="7" t="s">
        <v>1515</v>
      </c>
      <c r="K318" s="7" t="s">
        <v>1486</v>
      </c>
      <c r="L318" s="7" t="s">
        <v>1487</v>
      </c>
      <c r="M318" s="7">
        <v>10</v>
      </c>
      <c r="N318" s="7">
        <v>57</v>
      </c>
      <c r="O318" s="7" t="s">
        <v>42</v>
      </c>
      <c r="P318" s="7" t="s">
        <v>43</v>
      </c>
      <c r="Q318" s="7">
        <v>1</v>
      </c>
      <c r="R318" s="7">
        <v>0</v>
      </c>
      <c r="S318" s="7">
        <v>1</v>
      </c>
      <c r="T318" s="7">
        <v>1</v>
      </c>
      <c r="U318" s="7">
        <v>7</v>
      </c>
      <c r="V318" s="7" t="s">
        <v>1516</v>
      </c>
      <c r="W318" s="7">
        <v>0</v>
      </c>
      <c r="X318" s="7">
        <v>7</v>
      </c>
      <c r="Y318" s="7">
        <v>3</v>
      </c>
      <c r="Z318" s="7">
        <v>2</v>
      </c>
      <c r="AA318" s="7">
        <v>1</v>
      </c>
      <c r="AB318" s="7">
        <v>1</v>
      </c>
      <c r="AC318" s="7" t="s">
        <v>0</v>
      </c>
      <c r="AD318" s="7">
        <v>5</v>
      </c>
      <c r="AE318" s="7" t="s">
        <v>532</v>
      </c>
    </row>
    <row r="319" spans="1:31" ht="51" x14ac:dyDescent="0.2">
      <c r="A319" s="8" t="str">
        <f>HYPERLINK("http://www.patentics.cn/invokexml.do?sx=showpatent_cn&amp;sf=ShowPatent&amp;spn=US8880404&amp;sx=showpatent_cn&amp;sv=8f081cf50b3bab5e4c475357ecaec005","US8880404")</f>
        <v>US8880404</v>
      </c>
      <c r="B319" s="9" t="s">
        <v>1489</v>
      </c>
      <c r="C319" s="9" t="s">
        <v>1490</v>
      </c>
      <c r="D319" s="9" t="s">
        <v>48</v>
      </c>
      <c r="E319" s="9" t="s">
        <v>49</v>
      </c>
      <c r="F319" s="9" t="s">
        <v>1491</v>
      </c>
      <c r="G319" s="9" t="s">
        <v>1492</v>
      </c>
      <c r="H319" s="9" t="s">
        <v>1493</v>
      </c>
      <c r="I319" s="9" t="s">
        <v>1494</v>
      </c>
      <c r="J319" s="9" t="s">
        <v>159</v>
      </c>
      <c r="K319" s="9" t="s">
        <v>1486</v>
      </c>
      <c r="L319" s="9" t="s">
        <v>1495</v>
      </c>
      <c r="M319" s="9">
        <v>38</v>
      </c>
      <c r="N319" s="9">
        <v>12</v>
      </c>
      <c r="O319" s="9" t="s">
        <v>57</v>
      </c>
      <c r="P319" s="9" t="s">
        <v>58</v>
      </c>
      <c r="Q319" s="9">
        <v>59</v>
      </c>
      <c r="R319" s="9">
        <v>6</v>
      </c>
      <c r="S319" s="9">
        <v>53</v>
      </c>
      <c r="T319" s="9">
        <v>27</v>
      </c>
      <c r="U319" s="9">
        <v>1</v>
      </c>
      <c r="V319" s="9" t="s">
        <v>515</v>
      </c>
      <c r="W319" s="9">
        <v>1</v>
      </c>
      <c r="X319" s="9">
        <v>0</v>
      </c>
      <c r="Y319" s="9">
        <v>1</v>
      </c>
      <c r="Z319" s="9">
        <v>1</v>
      </c>
      <c r="AA319" s="9">
        <v>14</v>
      </c>
      <c r="AB319" s="9">
        <v>9</v>
      </c>
      <c r="AC319" s="9">
        <v>14</v>
      </c>
      <c r="AD319" s="9" t="s">
        <v>0</v>
      </c>
      <c r="AE319" s="9" t="s">
        <v>60</v>
      </c>
    </row>
    <row r="320" spans="1:31" ht="51" x14ac:dyDescent="0.2">
      <c r="A320" s="8" t="str">
        <f>HYPERLINK("http://www.patentics.cn/invokexml.do?sx=showpatent_cn&amp;sf=ShowPatent&amp;spn=US9767822&amp;sx=showpatent_cn&amp;sv=55e0341af39f27a86ec8252440548598","US9767822")</f>
        <v>US9767822</v>
      </c>
      <c r="B320" s="9" t="s">
        <v>1496</v>
      </c>
      <c r="C320" s="9" t="s">
        <v>1497</v>
      </c>
      <c r="D320" s="9" t="s">
        <v>48</v>
      </c>
      <c r="E320" s="9" t="s">
        <v>49</v>
      </c>
      <c r="F320" s="9" t="s">
        <v>1491</v>
      </c>
      <c r="G320" s="9" t="s">
        <v>1492</v>
      </c>
      <c r="H320" s="9" t="s">
        <v>0</v>
      </c>
      <c r="I320" s="9" t="s">
        <v>1494</v>
      </c>
      <c r="J320" s="9" t="s">
        <v>1498</v>
      </c>
      <c r="K320" s="9" t="s">
        <v>1486</v>
      </c>
      <c r="L320" s="9" t="s">
        <v>1495</v>
      </c>
      <c r="M320" s="9">
        <v>44</v>
      </c>
      <c r="N320" s="9">
        <v>15</v>
      </c>
      <c r="O320" s="9" t="s">
        <v>57</v>
      </c>
      <c r="P320" s="9" t="s">
        <v>58</v>
      </c>
      <c r="Q320" s="9">
        <v>96</v>
      </c>
      <c r="R320" s="9">
        <v>8</v>
      </c>
      <c r="S320" s="9">
        <v>88</v>
      </c>
      <c r="T320" s="9">
        <v>40</v>
      </c>
      <c r="U320" s="9">
        <v>0</v>
      </c>
      <c r="V320" s="9" t="s">
        <v>114</v>
      </c>
      <c r="W320" s="9">
        <v>0</v>
      </c>
      <c r="X320" s="9">
        <v>0</v>
      </c>
      <c r="Y320" s="9">
        <v>0</v>
      </c>
      <c r="Z320" s="9">
        <v>0</v>
      </c>
      <c r="AA320" s="9">
        <v>0</v>
      </c>
      <c r="AB320" s="9">
        <v>0</v>
      </c>
      <c r="AC320" s="9">
        <v>14</v>
      </c>
      <c r="AD320" s="9" t="s">
        <v>0</v>
      </c>
      <c r="AE320" s="9" t="s">
        <v>60</v>
      </c>
    </row>
    <row r="321" spans="1:31" ht="51" x14ac:dyDescent="0.2">
      <c r="A321" s="8" t="str">
        <f>HYPERLINK("http://www.patentics.cn/invokexml.do?sx=showpatent_cn&amp;sf=ShowPatent&amp;spn=US9767823&amp;sx=showpatent_cn&amp;sv=bf3c5f7d01da1ce670fb0ba0d39aaf11","US9767823")</f>
        <v>US9767823</v>
      </c>
      <c r="B321" s="9" t="s">
        <v>1499</v>
      </c>
      <c r="C321" s="9" t="s">
        <v>1500</v>
      </c>
      <c r="D321" s="9" t="s">
        <v>48</v>
      </c>
      <c r="E321" s="9" t="s">
        <v>49</v>
      </c>
      <c r="F321" s="9" t="s">
        <v>1491</v>
      </c>
      <c r="G321" s="9" t="s">
        <v>1492</v>
      </c>
      <c r="H321" s="9" t="s">
        <v>0</v>
      </c>
      <c r="I321" s="9" t="s">
        <v>1494</v>
      </c>
      <c r="J321" s="9" t="s">
        <v>1498</v>
      </c>
      <c r="K321" s="9" t="s">
        <v>1486</v>
      </c>
      <c r="L321" s="9" t="s">
        <v>1495</v>
      </c>
      <c r="M321" s="9">
        <v>30</v>
      </c>
      <c r="N321" s="9">
        <v>20</v>
      </c>
      <c r="O321" s="9" t="s">
        <v>57</v>
      </c>
      <c r="P321" s="9" t="s">
        <v>58</v>
      </c>
      <c r="Q321" s="9">
        <v>95</v>
      </c>
      <c r="R321" s="9">
        <v>6</v>
      </c>
      <c r="S321" s="9">
        <v>89</v>
      </c>
      <c r="T321" s="9">
        <v>43</v>
      </c>
      <c r="U321" s="9">
        <v>0</v>
      </c>
      <c r="V321" s="9" t="s">
        <v>114</v>
      </c>
      <c r="W321" s="9">
        <v>0</v>
      </c>
      <c r="X321" s="9">
        <v>0</v>
      </c>
      <c r="Y321" s="9">
        <v>0</v>
      </c>
      <c r="Z321" s="9">
        <v>0</v>
      </c>
      <c r="AA321" s="9">
        <v>0</v>
      </c>
      <c r="AB321" s="9">
        <v>0</v>
      </c>
      <c r="AC321" s="9">
        <v>14</v>
      </c>
      <c r="AD321" s="9" t="s">
        <v>0</v>
      </c>
      <c r="AE321" s="9" t="s">
        <v>60</v>
      </c>
    </row>
    <row r="322" spans="1:31" ht="51" x14ac:dyDescent="0.2">
      <c r="A322" s="8" t="str">
        <f>HYPERLINK("http://www.patentics.cn/invokexml.do?sx=showpatent_cn&amp;sf=ShowPatent&amp;spn=CN103299366B&amp;sx=showpatent_cn&amp;sv=e6eae6e00a5f0b1f32e186d4718400b9","CN103299366B")</f>
        <v>CN103299366B</v>
      </c>
      <c r="B322" s="9" t="s">
        <v>1501</v>
      </c>
      <c r="C322" s="9" t="s">
        <v>1502</v>
      </c>
      <c r="D322" s="9" t="s">
        <v>301</v>
      </c>
      <c r="E322" s="9" t="s">
        <v>301</v>
      </c>
      <c r="F322" s="9" t="s">
        <v>1503</v>
      </c>
      <c r="G322" s="9" t="s">
        <v>1504</v>
      </c>
      <c r="H322" s="9" t="s">
        <v>1493</v>
      </c>
      <c r="I322" s="9" t="s">
        <v>1505</v>
      </c>
      <c r="J322" s="9" t="s">
        <v>1506</v>
      </c>
      <c r="K322" s="9" t="s">
        <v>1486</v>
      </c>
      <c r="L322" s="9" t="s">
        <v>1507</v>
      </c>
      <c r="M322" s="9">
        <v>22</v>
      </c>
      <c r="N322" s="9">
        <v>12</v>
      </c>
      <c r="O322" s="9" t="s">
        <v>57</v>
      </c>
      <c r="P322" s="9" t="s">
        <v>58</v>
      </c>
      <c r="Q322" s="9">
        <v>3</v>
      </c>
      <c r="R322" s="9">
        <v>0</v>
      </c>
      <c r="S322" s="9">
        <v>3</v>
      </c>
      <c r="T322" s="9">
        <v>3</v>
      </c>
      <c r="U322" s="9">
        <v>0</v>
      </c>
      <c r="V322" s="9" t="s">
        <v>114</v>
      </c>
      <c r="W322" s="9">
        <v>0</v>
      </c>
      <c r="X322" s="9">
        <v>0</v>
      </c>
      <c r="Y322" s="9">
        <v>0</v>
      </c>
      <c r="Z322" s="9">
        <v>0</v>
      </c>
      <c r="AA322" s="9">
        <v>0</v>
      </c>
      <c r="AB322" s="9">
        <v>0</v>
      </c>
      <c r="AC322" s="9">
        <v>14</v>
      </c>
      <c r="AD322" s="9" t="s">
        <v>0</v>
      </c>
      <c r="AE322" s="9" t="s">
        <v>60</v>
      </c>
    </row>
    <row r="323" spans="1:31" ht="51" x14ac:dyDescent="0.2">
      <c r="A323" s="8" t="str">
        <f>HYPERLINK("http://www.patentics.cn/invokexml.do?sx=showpatent_cn&amp;sf=ShowPatent&amp;spn=CN103299366&amp;sx=showpatent_cn&amp;sv=de44311d20590360051a4dc1b7786b77","CN103299366")</f>
        <v>CN103299366</v>
      </c>
      <c r="B323" s="9" t="s">
        <v>1501</v>
      </c>
      <c r="C323" s="9" t="s">
        <v>1502</v>
      </c>
      <c r="D323" s="9" t="s">
        <v>301</v>
      </c>
      <c r="E323" s="9" t="s">
        <v>301</v>
      </c>
      <c r="F323" s="9" t="s">
        <v>1503</v>
      </c>
      <c r="G323" s="9" t="s">
        <v>1504</v>
      </c>
      <c r="H323" s="9" t="s">
        <v>1493</v>
      </c>
      <c r="I323" s="9" t="s">
        <v>1505</v>
      </c>
      <c r="J323" s="9" t="s">
        <v>1508</v>
      </c>
      <c r="K323" s="9" t="s">
        <v>1486</v>
      </c>
      <c r="L323" s="9" t="s">
        <v>1507</v>
      </c>
      <c r="M323" s="9">
        <v>44</v>
      </c>
      <c r="N323" s="9">
        <v>9</v>
      </c>
      <c r="O323" s="9" t="s">
        <v>42</v>
      </c>
      <c r="P323" s="9" t="s">
        <v>58</v>
      </c>
      <c r="Q323" s="9">
        <v>3</v>
      </c>
      <c r="R323" s="9">
        <v>0</v>
      </c>
      <c r="S323" s="9">
        <v>3</v>
      </c>
      <c r="T323" s="9">
        <v>3</v>
      </c>
      <c r="U323" s="9">
        <v>0</v>
      </c>
      <c r="V323" s="9" t="s">
        <v>114</v>
      </c>
      <c r="W323" s="9">
        <v>0</v>
      </c>
      <c r="X323" s="9">
        <v>0</v>
      </c>
      <c r="Y323" s="9">
        <v>0</v>
      </c>
      <c r="Z323" s="9">
        <v>0</v>
      </c>
      <c r="AA323" s="9">
        <v>7</v>
      </c>
      <c r="AB323" s="9">
        <v>7</v>
      </c>
      <c r="AC323" s="9">
        <v>14</v>
      </c>
      <c r="AD323" s="9" t="s">
        <v>0</v>
      </c>
      <c r="AE323" s="9" t="s">
        <v>60</v>
      </c>
    </row>
    <row r="324" spans="1:31" ht="63.75" x14ac:dyDescent="0.2">
      <c r="A324" s="6" t="str">
        <f>HYPERLINK("http://www.patentics.cn/invokexml.do?sx=showpatent_cn&amp;sf=ShowPatent&amp;spn=CN101183919&amp;sx=showpatent_cn&amp;sv=b2888d93eb8b544a882e9e7f94abf4a9","CN101183919")</f>
        <v>CN101183919</v>
      </c>
      <c r="B324" s="7" t="s">
        <v>1517</v>
      </c>
      <c r="C324" s="7" t="s">
        <v>1518</v>
      </c>
      <c r="D324" s="7" t="s">
        <v>432</v>
      </c>
      <c r="E324" s="7" t="s">
        <v>432</v>
      </c>
      <c r="F324" s="7" t="s">
        <v>1519</v>
      </c>
      <c r="G324" s="7" t="s">
        <v>1520</v>
      </c>
      <c r="H324" s="7" t="s">
        <v>1521</v>
      </c>
      <c r="I324" s="7" t="s">
        <v>1521</v>
      </c>
      <c r="J324" s="7" t="s">
        <v>1522</v>
      </c>
      <c r="K324" s="7" t="s">
        <v>68</v>
      </c>
      <c r="L324" s="7" t="s">
        <v>327</v>
      </c>
      <c r="M324" s="7">
        <v>3</v>
      </c>
      <c r="N324" s="7">
        <v>50</v>
      </c>
      <c r="O324" s="7" t="s">
        <v>42</v>
      </c>
      <c r="P324" s="7" t="s">
        <v>43</v>
      </c>
      <c r="Q324" s="7">
        <v>1</v>
      </c>
      <c r="R324" s="7">
        <v>0</v>
      </c>
      <c r="S324" s="7">
        <v>1</v>
      </c>
      <c r="T324" s="7">
        <v>1</v>
      </c>
      <c r="U324" s="7">
        <v>17</v>
      </c>
      <c r="V324" s="7" t="s">
        <v>1523</v>
      </c>
      <c r="W324" s="7">
        <v>0</v>
      </c>
      <c r="X324" s="7">
        <v>17</v>
      </c>
      <c r="Y324" s="7">
        <v>7</v>
      </c>
      <c r="Z324" s="7">
        <v>3</v>
      </c>
      <c r="AA324" s="7">
        <v>1</v>
      </c>
      <c r="AB324" s="7">
        <v>1</v>
      </c>
      <c r="AC324" s="7" t="s">
        <v>0</v>
      </c>
      <c r="AD324" s="7">
        <v>5</v>
      </c>
      <c r="AE324" s="7" t="s">
        <v>532</v>
      </c>
    </row>
    <row r="325" spans="1:31" ht="114.75" x14ac:dyDescent="0.2">
      <c r="A325" s="8" t="str">
        <f>HYPERLINK("http://www.patentics.cn/invokexml.do?sx=showpatent_cn&amp;sf=ShowPatent&amp;spn=US8890722&amp;sx=showpatent_cn&amp;sv=2297b9ca47ee8012cf48480592f72f58","US8890722")</f>
        <v>US8890722</v>
      </c>
      <c r="B325" s="9" t="s">
        <v>1524</v>
      </c>
      <c r="C325" s="9" t="s">
        <v>1525</v>
      </c>
      <c r="D325" s="9" t="s">
        <v>48</v>
      </c>
      <c r="E325" s="9" t="s">
        <v>49</v>
      </c>
      <c r="F325" s="9" t="s">
        <v>1526</v>
      </c>
      <c r="G325" s="9" t="s">
        <v>1527</v>
      </c>
      <c r="H325" s="9" t="s">
        <v>630</v>
      </c>
      <c r="I325" s="9" t="s">
        <v>1528</v>
      </c>
      <c r="J325" s="9" t="s">
        <v>567</v>
      </c>
      <c r="K325" s="9" t="s">
        <v>1529</v>
      </c>
      <c r="L325" s="9" t="s">
        <v>1530</v>
      </c>
      <c r="M325" s="9">
        <v>36</v>
      </c>
      <c r="N325" s="9">
        <v>4</v>
      </c>
      <c r="O325" s="9" t="s">
        <v>57</v>
      </c>
      <c r="P325" s="9" t="s">
        <v>58</v>
      </c>
      <c r="Q325" s="9">
        <v>51</v>
      </c>
      <c r="R325" s="9">
        <v>7</v>
      </c>
      <c r="S325" s="9">
        <v>44</v>
      </c>
      <c r="T325" s="9">
        <v>21</v>
      </c>
      <c r="U325" s="9">
        <v>0</v>
      </c>
      <c r="V325" s="9" t="s">
        <v>114</v>
      </c>
      <c r="W325" s="9">
        <v>0</v>
      </c>
      <c r="X325" s="9">
        <v>0</v>
      </c>
      <c r="Y325" s="9">
        <v>0</v>
      </c>
      <c r="Z325" s="9">
        <v>0</v>
      </c>
      <c r="AA325" s="9">
        <v>4</v>
      </c>
      <c r="AB325" s="9">
        <v>2</v>
      </c>
      <c r="AC325" s="9">
        <v>14</v>
      </c>
      <c r="AD325" s="9" t="s">
        <v>0</v>
      </c>
      <c r="AE325" s="9" t="s">
        <v>60</v>
      </c>
    </row>
    <row r="326" spans="1:31" ht="191.25" x14ac:dyDescent="0.2">
      <c r="A326" s="8" t="str">
        <f>HYPERLINK("http://www.patentics.cn/invokexml.do?sx=showpatent_cn&amp;sf=ShowPatent&amp;spn=US8976903&amp;sx=showpatent_cn&amp;sv=41e7bef0fd7401ee35871c559a3c1730","US8976903")</f>
        <v>US8976903</v>
      </c>
      <c r="B326" s="9" t="s">
        <v>1531</v>
      </c>
      <c r="C326" s="9" t="s">
        <v>1532</v>
      </c>
      <c r="D326" s="9" t="s">
        <v>48</v>
      </c>
      <c r="E326" s="9" t="s">
        <v>49</v>
      </c>
      <c r="F326" s="9" t="s">
        <v>1533</v>
      </c>
      <c r="G326" s="9" t="s">
        <v>1534</v>
      </c>
      <c r="H326" s="9" t="s">
        <v>1535</v>
      </c>
      <c r="I326" s="9" t="s">
        <v>1535</v>
      </c>
      <c r="J326" s="9" t="s">
        <v>1536</v>
      </c>
      <c r="K326" s="9" t="s">
        <v>68</v>
      </c>
      <c r="L326" s="9" t="s">
        <v>218</v>
      </c>
      <c r="M326" s="9">
        <v>34</v>
      </c>
      <c r="N326" s="9">
        <v>22</v>
      </c>
      <c r="O326" s="9" t="s">
        <v>57</v>
      </c>
      <c r="P326" s="9" t="s">
        <v>58</v>
      </c>
      <c r="Q326" s="9">
        <v>50</v>
      </c>
      <c r="R326" s="9">
        <v>6</v>
      </c>
      <c r="S326" s="9">
        <v>44</v>
      </c>
      <c r="T326" s="9">
        <v>21</v>
      </c>
      <c r="U326" s="9">
        <v>0</v>
      </c>
      <c r="V326" s="9" t="s">
        <v>114</v>
      </c>
      <c r="W326" s="9">
        <v>0</v>
      </c>
      <c r="X326" s="9">
        <v>0</v>
      </c>
      <c r="Y326" s="9">
        <v>0</v>
      </c>
      <c r="Z326" s="9">
        <v>0</v>
      </c>
      <c r="AA326" s="9">
        <v>25</v>
      </c>
      <c r="AB326" s="9">
        <v>7</v>
      </c>
      <c r="AC326" s="9">
        <v>14</v>
      </c>
      <c r="AD326" s="9" t="s">
        <v>0</v>
      </c>
      <c r="AE326" s="9" t="s">
        <v>60</v>
      </c>
    </row>
    <row r="327" spans="1:31" ht="102" x14ac:dyDescent="0.2">
      <c r="A327" s="8" t="str">
        <f>HYPERLINK("http://www.patentics.cn/invokexml.do?sx=showpatent_cn&amp;sf=ShowPatent&amp;spn=US8989320&amp;sx=showpatent_cn&amp;sv=53b166cf7b8a19a2d31860fa1fb3530f","US8989320")</f>
        <v>US8989320</v>
      </c>
      <c r="B327" s="9" t="s">
        <v>1537</v>
      </c>
      <c r="C327" s="9" t="s">
        <v>1538</v>
      </c>
      <c r="D327" s="9" t="s">
        <v>48</v>
      </c>
      <c r="E327" s="9" t="s">
        <v>49</v>
      </c>
      <c r="F327" s="9" t="s">
        <v>1539</v>
      </c>
      <c r="G327" s="9" t="s">
        <v>1527</v>
      </c>
      <c r="H327" s="9" t="s">
        <v>1535</v>
      </c>
      <c r="I327" s="9" t="s">
        <v>1535</v>
      </c>
      <c r="J327" s="9" t="s">
        <v>1265</v>
      </c>
      <c r="K327" s="9" t="s">
        <v>68</v>
      </c>
      <c r="L327" s="9" t="s">
        <v>459</v>
      </c>
      <c r="M327" s="9">
        <v>13</v>
      </c>
      <c r="N327" s="9">
        <v>22</v>
      </c>
      <c r="O327" s="9" t="s">
        <v>57</v>
      </c>
      <c r="P327" s="9" t="s">
        <v>58</v>
      </c>
      <c r="Q327" s="9">
        <v>51</v>
      </c>
      <c r="R327" s="9">
        <v>7</v>
      </c>
      <c r="S327" s="9">
        <v>44</v>
      </c>
      <c r="T327" s="9">
        <v>21</v>
      </c>
      <c r="U327" s="9">
        <v>0</v>
      </c>
      <c r="V327" s="9" t="s">
        <v>114</v>
      </c>
      <c r="W327" s="9">
        <v>0</v>
      </c>
      <c r="X327" s="9">
        <v>0</v>
      </c>
      <c r="Y327" s="9">
        <v>0</v>
      </c>
      <c r="Z327" s="9">
        <v>0</v>
      </c>
      <c r="AA327" s="9">
        <v>9</v>
      </c>
      <c r="AB327" s="9">
        <v>6</v>
      </c>
      <c r="AC327" s="9">
        <v>14</v>
      </c>
      <c r="AD327" s="9" t="s">
        <v>0</v>
      </c>
      <c r="AE327" s="9" t="s">
        <v>60</v>
      </c>
    </row>
    <row r="328" spans="1:31" ht="102" x14ac:dyDescent="0.2">
      <c r="A328" s="8" t="str">
        <f>HYPERLINK("http://www.patentics.cn/invokexml.do?sx=showpatent_cn&amp;sf=ShowPatent&amp;spn=CN102484565B&amp;sx=showpatent_cn&amp;sv=2109aa1b949ab3bc27090444162e82f9","CN102484565B")</f>
        <v>CN102484565B</v>
      </c>
      <c r="B328" s="9" t="s">
        <v>1540</v>
      </c>
      <c r="C328" s="9" t="s">
        <v>1541</v>
      </c>
      <c r="D328" s="9" t="s">
        <v>301</v>
      </c>
      <c r="E328" s="9" t="s">
        <v>301</v>
      </c>
      <c r="F328" s="9" t="s">
        <v>1542</v>
      </c>
      <c r="G328" s="9" t="s">
        <v>1543</v>
      </c>
      <c r="H328" s="9" t="s">
        <v>1535</v>
      </c>
      <c r="I328" s="9" t="s">
        <v>1544</v>
      </c>
      <c r="J328" s="9" t="s">
        <v>1545</v>
      </c>
      <c r="K328" s="9" t="s">
        <v>68</v>
      </c>
      <c r="L328" s="9" t="s">
        <v>211</v>
      </c>
      <c r="M328" s="9">
        <v>14</v>
      </c>
      <c r="N328" s="9">
        <v>16</v>
      </c>
      <c r="O328" s="9" t="s">
        <v>57</v>
      </c>
      <c r="P328" s="9" t="s">
        <v>58</v>
      </c>
      <c r="Q328" s="9">
        <v>2</v>
      </c>
      <c r="R328" s="9">
        <v>0</v>
      </c>
      <c r="S328" s="9">
        <v>2</v>
      </c>
      <c r="T328" s="9">
        <v>2</v>
      </c>
      <c r="U328" s="9">
        <v>0</v>
      </c>
      <c r="V328" s="9" t="s">
        <v>114</v>
      </c>
      <c r="W328" s="9">
        <v>0</v>
      </c>
      <c r="X328" s="9">
        <v>0</v>
      </c>
      <c r="Y328" s="9">
        <v>0</v>
      </c>
      <c r="Z328" s="9">
        <v>0</v>
      </c>
      <c r="AA328" s="9">
        <v>25</v>
      </c>
      <c r="AB328" s="9">
        <v>7</v>
      </c>
      <c r="AC328" s="9">
        <v>14</v>
      </c>
      <c r="AD328" s="9" t="s">
        <v>0</v>
      </c>
      <c r="AE328" s="9" t="s">
        <v>60</v>
      </c>
    </row>
    <row r="329" spans="1:31" ht="102" x14ac:dyDescent="0.2">
      <c r="A329" s="8" t="str">
        <f>HYPERLINK("http://www.patentics.cn/invokexml.do?sx=showpatent_cn&amp;sf=ShowPatent&amp;spn=CN102484565&amp;sx=showpatent_cn&amp;sv=660908dc774a2a755f8ce37b35e3c201","CN102484565")</f>
        <v>CN102484565</v>
      </c>
      <c r="B329" s="9" t="s">
        <v>1540</v>
      </c>
      <c r="C329" s="9" t="s">
        <v>1541</v>
      </c>
      <c r="D329" s="9" t="s">
        <v>301</v>
      </c>
      <c r="E329" s="9" t="s">
        <v>301</v>
      </c>
      <c r="F329" s="9" t="s">
        <v>1542</v>
      </c>
      <c r="G329" s="9" t="s">
        <v>1543</v>
      </c>
      <c r="H329" s="9" t="s">
        <v>1535</v>
      </c>
      <c r="I329" s="9" t="s">
        <v>1544</v>
      </c>
      <c r="J329" s="9" t="s">
        <v>1546</v>
      </c>
      <c r="K329" s="9" t="s">
        <v>68</v>
      </c>
      <c r="L329" s="9" t="s">
        <v>211</v>
      </c>
      <c r="M329" s="9">
        <v>43</v>
      </c>
      <c r="N329" s="9">
        <v>11</v>
      </c>
      <c r="O329" s="9" t="s">
        <v>42</v>
      </c>
      <c r="P329" s="9" t="s">
        <v>58</v>
      </c>
      <c r="Q329" s="9">
        <v>4</v>
      </c>
      <c r="R329" s="9">
        <v>0</v>
      </c>
      <c r="S329" s="9">
        <v>4</v>
      </c>
      <c r="T329" s="9">
        <v>4</v>
      </c>
      <c r="U329" s="9">
        <v>1</v>
      </c>
      <c r="V329" s="9" t="s">
        <v>321</v>
      </c>
      <c r="W329" s="9">
        <v>1</v>
      </c>
      <c r="X329" s="9">
        <v>0</v>
      </c>
      <c r="Y329" s="9">
        <v>1</v>
      </c>
      <c r="Z329" s="9">
        <v>1</v>
      </c>
      <c r="AA329" s="9">
        <v>25</v>
      </c>
      <c r="AB329" s="9">
        <v>7</v>
      </c>
      <c r="AC329" s="9">
        <v>14</v>
      </c>
      <c r="AD329" s="9" t="s">
        <v>0</v>
      </c>
      <c r="AE329" s="9" t="s">
        <v>60</v>
      </c>
    </row>
    <row r="330" spans="1:31" ht="63.75" x14ac:dyDescent="0.2">
      <c r="A330" s="6" t="str">
        <f>HYPERLINK("http://www.patentics.cn/invokexml.do?sx=showpatent_cn&amp;sf=ShowPatent&amp;spn=CN101127903&amp;sx=showpatent_cn&amp;sv=fc5188979f115ff1995bc58e9bef7a28","CN101127903")</f>
        <v>CN101127903</v>
      </c>
      <c r="B330" s="7" t="s">
        <v>1547</v>
      </c>
      <c r="C330" s="7" t="s">
        <v>1548</v>
      </c>
      <c r="D330" s="7" t="s">
        <v>1295</v>
      </c>
      <c r="E330" s="7" t="s">
        <v>1295</v>
      </c>
      <c r="F330" s="7" t="s">
        <v>1549</v>
      </c>
      <c r="G330" s="7" t="s">
        <v>1550</v>
      </c>
      <c r="H330" s="7" t="s">
        <v>1551</v>
      </c>
      <c r="I330" s="7" t="s">
        <v>1551</v>
      </c>
      <c r="J330" s="7" t="s">
        <v>1552</v>
      </c>
      <c r="K330" s="7" t="s">
        <v>714</v>
      </c>
      <c r="L330" s="7" t="s">
        <v>1346</v>
      </c>
      <c r="M330" s="7">
        <v>4</v>
      </c>
      <c r="N330" s="7">
        <v>45</v>
      </c>
      <c r="O330" s="7" t="s">
        <v>42</v>
      </c>
      <c r="P330" s="7" t="s">
        <v>43</v>
      </c>
      <c r="Q330" s="7">
        <v>0</v>
      </c>
      <c r="R330" s="7">
        <v>0</v>
      </c>
      <c r="S330" s="7">
        <v>0</v>
      </c>
      <c r="T330" s="7">
        <v>0</v>
      </c>
      <c r="U330" s="7">
        <v>13</v>
      </c>
      <c r="V330" s="7" t="s">
        <v>1553</v>
      </c>
      <c r="W330" s="7">
        <v>0</v>
      </c>
      <c r="X330" s="7">
        <v>13</v>
      </c>
      <c r="Y330" s="7">
        <v>7</v>
      </c>
      <c r="Z330" s="7">
        <v>2</v>
      </c>
      <c r="AA330" s="7">
        <v>1</v>
      </c>
      <c r="AB330" s="7">
        <v>1</v>
      </c>
      <c r="AC330" s="7" t="s">
        <v>0</v>
      </c>
      <c r="AD330" s="7">
        <v>5</v>
      </c>
      <c r="AE330" s="7" t="s">
        <v>60</v>
      </c>
    </row>
    <row r="331" spans="1:31" ht="51" x14ac:dyDescent="0.2">
      <c r="A331" s="8" t="str">
        <f>HYPERLINK("http://www.patentics.cn/invokexml.do?sx=showpatent_cn&amp;sf=ShowPatent&amp;spn=US8902995&amp;sx=showpatent_cn&amp;sv=28fb08e2e53487614bb53873fd8c0b54","US8902995")</f>
        <v>US8902995</v>
      </c>
      <c r="B331" s="9" t="s">
        <v>1554</v>
      </c>
      <c r="C331" s="9" t="s">
        <v>1555</v>
      </c>
      <c r="D331" s="9" t="s">
        <v>48</v>
      </c>
      <c r="E331" s="9" t="s">
        <v>49</v>
      </c>
      <c r="F331" s="9" t="s">
        <v>1556</v>
      </c>
      <c r="G331" s="9" t="s">
        <v>1556</v>
      </c>
      <c r="H331" s="9" t="s">
        <v>1557</v>
      </c>
      <c r="I331" s="9" t="s">
        <v>1558</v>
      </c>
      <c r="J331" s="9" t="s">
        <v>403</v>
      </c>
      <c r="K331" s="9" t="s">
        <v>714</v>
      </c>
      <c r="L331" s="9" t="s">
        <v>1559</v>
      </c>
      <c r="M331" s="9">
        <v>44</v>
      </c>
      <c r="N331" s="9">
        <v>14</v>
      </c>
      <c r="O331" s="9" t="s">
        <v>57</v>
      </c>
      <c r="P331" s="9" t="s">
        <v>58</v>
      </c>
      <c r="Q331" s="9">
        <v>137</v>
      </c>
      <c r="R331" s="9">
        <v>18</v>
      </c>
      <c r="S331" s="9">
        <v>119</v>
      </c>
      <c r="T331" s="9">
        <v>54</v>
      </c>
      <c r="U331" s="9">
        <v>2</v>
      </c>
      <c r="V331" s="9" t="s">
        <v>264</v>
      </c>
      <c r="W331" s="9">
        <v>1</v>
      </c>
      <c r="X331" s="9">
        <v>1</v>
      </c>
      <c r="Y331" s="9">
        <v>2</v>
      </c>
      <c r="Z331" s="9">
        <v>1</v>
      </c>
      <c r="AA331" s="9">
        <v>64</v>
      </c>
      <c r="AB331" s="9">
        <v>7</v>
      </c>
      <c r="AC331" s="9">
        <v>14</v>
      </c>
      <c r="AD331" s="9" t="s">
        <v>0</v>
      </c>
      <c r="AE331" s="9" t="s">
        <v>60</v>
      </c>
    </row>
    <row r="332" spans="1:31" ht="51" x14ac:dyDescent="0.2">
      <c r="A332" s="8" t="str">
        <f>HYPERLINK("http://www.patentics.cn/invokexml.do?sx=showpatent_cn&amp;sf=ShowPatent&amp;spn=US8958475&amp;sx=showpatent_cn&amp;sv=aea1ad2250dc19b78562382eec37306f","US8958475")</f>
        <v>US8958475</v>
      </c>
      <c r="B332" s="9" t="s">
        <v>1560</v>
      </c>
      <c r="C332" s="9" t="s">
        <v>1561</v>
      </c>
      <c r="D332" s="9" t="s">
        <v>48</v>
      </c>
      <c r="E332" s="9" t="s">
        <v>49</v>
      </c>
      <c r="F332" s="9" t="s">
        <v>1556</v>
      </c>
      <c r="G332" s="9" t="s">
        <v>1556</v>
      </c>
      <c r="H332" s="9" t="s">
        <v>1557</v>
      </c>
      <c r="I332" s="9" t="s">
        <v>1558</v>
      </c>
      <c r="J332" s="9" t="s">
        <v>1562</v>
      </c>
      <c r="K332" s="9" t="s">
        <v>714</v>
      </c>
      <c r="L332" s="9" t="s">
        <v>1559</v>
      </c>
      <c r="M332" s="9">
        <v>35</v>
      </c>
      <c r="N332" s="9">
        <v>22</v>
      </c>
      <c r="O332" s="9" t="s">
        <v>57</v>
      </c>
      <c r="P332" s="9" t="s">
        <v>58</v>
      </c>
      <c r="Q332" s="9">
        <v>134</v>
      </c>
      <c r="R332" s="9">
        <v>16</v>
      </c>
      <c r="S332" s="9">
        <v>118</v>
      </c>
      <c r="T332" s="9">
        <v>53</v>
      </c>
      <c r="U332" s="9">
        <v>1</v>
      </c>
      <c r="V332" s="9" t="s">
        <v>114</v>
      </c>
      <c r="W332" s="9">
        <v>1</v>
      </c>
      <c r="X332" s="9">
        <v>0</v>
      </c>
      <c r="Y332" s="9">
        <v>1</v>
      </c>
      <c r="Z332" s="9">
        <v>1</v>
      </c>
      <c r="AA332" s="9">
        <v>64</v>
      </c>
      <c r="AB332" s="9">
        <v>7</v>
      </c>
      <c r="AC332" s="9">
        <v>14</v>
      </c>
      <c r="AD332" s="9" t="s">
        <v>0</v>
      </c>
      <c r="AE332" s="9" t="s">
        <v>60</v>
      </c>
    </row>
    <row r="333" spans="1:31" ht="51" x14ac:dyDescent="0.2">
      <c r="A333" s="8" t="str">
        <f>HYPERLINK("http://www.patentics.cn/invokexml.do?sx=showpatent_cn&amp;sf=ShowPatent&amp;spn=US9112618&amp;sx=showpatent_cn&amp;sv=865721b0ef0cd6ff4f4a4a0c23bd4ffe","US9112618")</f>
        <v>US9112618</v>
      </c>
      <c r="B333" s="9" t="s">
        <v>1563</v>
      </c>
      <c r="C333" s="9" t="s">
        <v>1564</v>
      </c>
      <c r="D333" s="9" t="s">
        <v>48</v>
      </c>
      <c r="E333" s="9" t="s">
        <v>49</v>
      </c>
      <c r="F333" s="9" t="s">
        <v>1556</v>
      </c>
      <c r="G333" s="9" t="s">
        <v>1556</v>
      </c>
      <c r="H333" s="9" t="s">
        <v>1557</v>
      </c>
      <c r="I333" s="9" t="s">
        <v>1558</v>
      </c>
      <c r="J333" s="9" t="s">
        <v>1366</v>
      </c>
      <c r="K333" s="9" t="s">
        <v>488</v>
      </c>
      <c r="L333" s="9" t="s">
        <v>1565</v>
      </c>
      <c r="M333" s="9">
        <v>20</v>
      </c>
      <c r="N333" s="9">
        <v>11</v>
      </c>
      <c r="O333" s="9" t="s">
        <v>57</v>
      </c>
      <c r="P333" s="9" t="s">
        <v>58</v>
      </c>
      <c r="Q333" s="9">
        <v>155</v>
      </c>
      <c r="R333" s="9">
        <v>22</v>
      </c>
      <c r="S333" s="9">
        <v>133</v>
      </c>
      <c r="T333" s="9">
        <v>57</v>
      </c>
      <c r="U333" s="9">
        <v>0</v>
      </c>
      <c r="V333" s="9" t="s">
        <v>114</v>
      </c>
      <c r="W333" s="9">
        <v>0</v>
      </c>
      <c r="X333" s="9">
        <v>0</v>
      </c>
      <c r="Y333" s="9">
        <v>0</v>
      </c>
      <c r="Z333" s="9">
        <v>0</v>
      </c>
      <c r="AA333" s="9">
        <v>64</v>
      </c>
      <c r="AB333" s="9">
        <v>7</v>
      </c>
      <c r="AC333" s="9">
        <v>14</v>
      </c>
      <c r="AD333" s="9" t="s">
        <v>0</v>
      </c>
      <c r="AE333" s="9" t="s">
        <v>60</v>
      </c>
    </row>
    <row r="334" spans="1:31" ht="25.5" x14ac:dyDescent="0.2">
      <c r="A334" s="8" t="str">
        <f>HYPERLINK("http://www.patentics.cn/invokexml.do?sx=showpatent_cn&amp;sf=ShowPatent&amp;spn=CN102474362B&amp;sx=showpatent_cn&amp;sv=a28b55aa9ab1961d7a636ee0e5ea90d5","CN102474362B")</f>
        <v>CN102474362B</v>
      </c>
      <c r="B334" s="9" t="s">
        <v>1566</v>
      </c>
      <c r="C334" s="9" t="s">
        <v>1567</v>
      </c>
      <c r="D334" s="9" t="s">
        <v>301</v>
      </c>
      <c r="E334" s="9" t="s">
        <v>301</v>
      </c>
      <c r="F334" s="9" t="s">
        <v>1568</v>
      </c>
      <c r="G334" s="9" t="s">
        <v>1568</v>
      </c>
      <c r="H334" s="9" t="s">
        <v>1557</v>
      </c>
      <c r="I334" s="9" t="s">
        <v>1569</v>
      </c>
      <c r="J334" s="9" t="s">
        <v>330</v>
      </c>
      <c r="K334" s="9" t="s">
        <v>488</v>
      </c>
      <c r="L334" s="9" t="s">
        <v>1570</v>
      </c>
      <c r="M334" s="9">
        <v>15</v>
      </c>
      <c r="N334" s="9">
        <v>16</v>
      </c>
      <c r="O334" s="9" t="s">
        <v>57</v>
      </c>
      <c r="P334" s="9" t="s">
        <v>58</v>
      </c>
      <c r="Q334" s="9">
        <v>4</v>
      </c>
      <c r="R334" s="9">
        <v>0</v>
      </c>
      <c r="S334" s="9">
        <v>4</v>
      </c>
      <c r="T334" s="9">
        <v>4</v>
      </c>
      <c r="U334" s="9">
        <v>0</v>
      </c>
      <c r="V334" s="9" t="s">
        <v>114</v>
      </c>
      <c r="W334" s="9">
        <v>0</v>
      </c>
      <c r="X334" s="9">
        <v>0</v>
      </c>
      <c r="Y334" s="9">
        <v>0</v>
      </c>
      <c r="Z334" s="9">
        <v>0</v>
      </c>
      <c r="AA334" s="9">
        <v>0</v>
      </c>
      <c r="AB334" s="9">
        <v>0</v>
      </c>
      <c r="AC334" s="9">
        <v>14</v>
      </c>
      <c r="AD334" s="9" t="s">
        <v>0</v>
      </c>
      <c r="AE334" s="9" t="s">
        <v>60</v>
      </c>
    </row>
    <row r="335" spans="1:31" ht="25.5" x14ac:dyDescent="0.2">
      <c r="A335" s="8" t="str">
        <f>HYPERLINK("http://www.patentics.cn/invokexml.do?sx=showpatent_cn&amp;sf=ShowPatent&amp;spn=CN102474362&amp;sx=showpatent_cn&amp;sv=814edece5d319eefdeec8602fc3eb6fd","CN102474362")</f>
        <v>CN102474362</v>
      </c>
      <c r="B335" s="9" t="s">
        <v>1566</v>
      </c>
      <c r="C335" s="9" t="s">
        <v>1567</v>
      </c>
      <c r="D335" s="9" t="s">
        <v>301</v>
      </c>
      <c r="E335" s="9" t="s">
        <v>301</v>
      </c>
      <c r="F335" s="9" t="s">
        <v>1568</v>
      </c>
      <c r="G335" s="9" t="s">
        <v>1568</v>
      </c>
      <c r="H335" s="9" t="s">
        <v>1557</v>
      </c>
      <c r="I335" s="9" t="s">
        <v>1569</v>
      </c>
      <c r="J335" s="9" t="s">
        <v>429</v>
      </c>
      <c r="K335" s="9" t="s">
        <v>488</v>
      </c>
      <c r="L335" s="9" t="s">
        <v>1565</v>
      </c>
      <c r="M335" s="9">
        <v>28</v>
      </c>
      <c r="N335" s="9">
        <v>12</v>
      </c>
      <c r="O335" s="9" t="s">
        <v>42</v>
      </c>
      <c r="P335" s="9" t="s">
        <v>58</v>
      </c>
      <c r="Q335" s="9">
        <v>4</v>
      </c>
      <c r="R335" s="9">
        <v>0</v>
      </c>
      <c r="S335" s="9">
        <v>4</v>
      </c>
      <c r="T335" s="9">
        <v>4</v>
      </c>
      <c r="U335" s="9">
        <v>0</v>
      </c>
      <c r="V335" s="9" t="s">
        <v>114</v>
      </c>
      <c r="W335" s="9">
        <v>0</v>
      </c>
      <c r="X335" s="9">
        <v>0</v>
      </c>
      <c r="Y335" s="9">
        <v>0</v>
      </c>
      <c r="Z335" s="9">
        <v>0</v>
      </c>
      <c r="AA335" s="9">
        <v>64</v>
      </c>
      <c r="AB335" s="9">
        <v>7</v>
      </c>
      <c r="AC335" s="9">
        <v>14</v>
      </c>
      <c r="AD335" s="9" t="s">
        <v>0</v>
      </c>
      <c r="AE335" s="9" t="s">
        <v>60</v>
      </c>
    </row>
    <row r="336" spans="1:31" ht="51" x14ac:dyDescent="0.2">
      <c r="A336" s="6" t="str">
        <f>HYPERLINK("http://www.patentics.cn/invokexml.do?sx=showpatent_cn&amp;sf=ShowPatent&amp;spn=CN101030378&amp;sx=showpatent_cn&amp;sv=871fa5b6f63f82e9a6a8234682d16d34","CN101030378")</f>
        <v>CN101030378</v>
      </c>
      <c r="B336" s="7" t="s">
        <v>1571</v>
      </c>
      <c r="C336" s="7" t="s">
        <v>1572</v>
      </c>
      <c r="D336" s="7" t="s">
        <v>1573</v>
      </c>
      <c r="E336" s="7" t="s">
        <v>1573</v>
      </c>
      <c r="F336" s="7" t="s">
        <v>1574</v>
      </c>
      <c r="G336" s="7" t="s">
        <v>1575</v>
      </c>
      <c r="H336" s="7" t="s">
        <v>0</v>
      </c>
      <c r="I336" s="7" t="s">
        <v>1576</v>
      </c>
      <c r="J336" s="7" t="s">
        <v>1577</v>
      </c>
      <c r="K336" s="7" t="s">
        <v>1486</v>
      </c>
      <c r="L336" s="7" t="s">
        <v>1578</v>
      </c>
      <c r="M336" s="7">
        <v>10</v>
      </c>
      <c r="N336" s="7">
        <v>22</v>
      </c>
      <c r="O336" s="7" t="s">
        <v>42</v>
      </c>
      <c r="P336" s="7" t="s">
        <v>43</v>
      </c>
      <c r="Q336" s="7">
        <v>0</v>
      </c>
      <c r="R336" s="7">
        <v>0</v>
      </c>
      <c r="S336" s="7">
        <v>0</v>
      </c>
      <c r="T336" s="7">
        <v>0</v>
      </c>
      <c r="U336" s="7">
        <v>8</v>
      </c>
      <c r="V336" s="7" t="s">
        <v>1579</v>
      </c>
      <c r="W336" s="7">
        <v>0</v>
      </c>
      <c r="X336" s="7">
        <v>8</v>
      </c>
      <c r="Y336" s="7">
        <v>3</v>
      </c>
      <c r="Z336" s="7">
        <v>3</v>
      </c>
      <c r="AA336" s="7">
        <v>0</v>
      </c>
      <c r="AB336" s="7">
        <v>0</v>
      </c>
      <c r="AC336" s="7" t="s">
        <v>0</v>
      </c>
      <c r="AD336" s="7">
        <v>5</v>
      </c>
      <c r="AE336" s="7" t="s">
        <v>45</v>
      </c>
    </row>
    <row r="337" spans="1:31" ht="76.5" x14ac:dyDescent="0.2">
      <c r="A337" s="8" t="str">
        <f>HYPERLINK("http://www.patentics.cn/invokexml.do?sx=showpatent_cn&amp;sf=ShowPatent&amp;spn=US8831933&amp;sx=showpatent_cn&amp;sv=61f1142d3d8de018d5c18c9917afb50c","US8831933")</f>
        <v>US8831933</v>
      </c>
      <c r="B337" s="9" t="s">
        <v>1580</v>
      </c>
      <c r="C337" s="9" t="s">
        <v>1581</v>
      </c>
      <c r="D337" s="9" t="s">
        <v>48</v>
      </c>
      <c r="E337" s="9" t="s">
        <v>49</v>
      </c>
      <c r="F337" s="9" t="s">
        <v>1582</v>
      </c>
      <c r="G337" s="9" t="s">
        <v>1583</v>
      </c>
      <c r="H337" s="9" t="s">
        <v>1584</v>
      </c>
      <c r="I337" s="9" t="s">
        <v>1585</v>
      </c>
      <c r="J337" s="9" t="s">
        <v>149</v>
      </c>
      <c r="K337" s="9" t="s">
        <v>1486</v>
      </c>
      <c r="L337" s="9" t="s">
        <v>1586</v>
      </c>
      <c r="M337" s="9">
        <v>40</v>
      </c>
      <c r="N337" s="9">
        <v>10</v>
      </c>
      <c r="O337" s="9" t="s">
        <v>57</v>
      </c>
      <c r="P337" s="9" t="s">
        <v>58</v>
      </c>
      <c r="Q337" s="9">
        <v>109</v>
      </c>
      <c r="R337" s="9">
        <v>9</v>
      </c>
      <c r="S337" s="9">
        <v>100</v>
      </c>
      <c r="T337" s="9">
        <v>42</v>
      </c>
      <c r="U337" s="9">
        <v>12</v>
      </c>
      <c r="V337" s="9" t="s">
        <v>769</v>
      </c>
      <c r="W337" s="9">
        <v>4</v>
      </c>
      <c r="X337" s="9">
        <v>8</v>
      </c>
      <c r="Y337" s="9">
        <v>1</v>
      </c>
      <c r="Z337" s="9">
        <v>2</v>
      </c>
      <c r="AA337" s="9">
        <v>38</v>
      </c>
      <c r="AB337" s="9">
        <v>8</v>
      </c>
      <c r="AC337" s="9">
        <v>14</v>
      </c>
      <c r="AD337" s="9" t="s">
        <v>0</v>
      </c>
      <c r="AE337" s="9" t="s">
        <v>60</v>
      </c>
    </row>
    <row r="338" spans="1:31" ht="114.75" x14ac:dyDescent="0.2">
      <c r="A338" s="8" t="str">
        <f>HYPERLINK("http://www.patentics.cn/invokexml.do?sx=showpatent_cn&amp;sf=ShowPatent&amp;spn=US8924222&amp;sx=showpatent_cn&amp;sv=5ab98adf0028548e686876f27e4b6ec0","US8924222")</f>
        <v>US8924222</v>
      </c>
      <c r="B338" s="9" t="s">
        <v>1587</v>
      </c>
      <c r="C338" s="9" t="s">
        <v>1588</v>
      </c>
      <c r="D338" s="9" t="s">
        <v>48</v>
      </c>
      <c r="E338" s="9" t="s">
        <v>49</v>
      </c>
      <c r="F338" s="9" t="s">
        <v>1589</v>
      </c>
      <c r="G338" s="9" t="s">
        <v>1590</v>
      </c>
      <c r="H338" s="9" t="s">
        <v>1584</v>
      </c>
      <c r="I338" s="9" t="s">
        <v>1585</v>
      </c>
      <c r="J338" s="9" t="s">
        <v>411</v>
      </c>
      <c r="K338" s="9" t="s">
        <v>1486</v>
      </c>
      <c r="L338" s="9" t="s">
        <v>1487</v>
      </c>
      <c r="M338" s="9">
        <v>58</v>
      </c>
      <c r="N338" s="9">
        <v>16</v>
      </c>
      <c r="O338" s="9" t="s">
        <v>57</v>
      </c>
      <c r="P338" s="9" t="s">
        <v>58</v>
      </c>
      <c r="Q338" s="9">
        <v>120</v>
      </c>
      <c r="R338" s="9">
        <v>10</v>
      </c>
      <c r="S338" s="9">
        <v>110</v>
      </c>
      <c r="T338" s="9">
        <v>45</v>
      </c>
      <c r="U338" s="9">
        <v>11</v>
      </c>
      <c r="V338" s="9" t="s">
        <v>1591</v>
      </c>
      <c r="W338" s="9">
        <v>1</v>
      </c>
      <c r="X338" s="9">
        <v>10</v>
      </c>
      <c r="Y338" s="9">
        <v>2</v>
      </c>
      <c r="Z338" s="9">
        <v>2</v>
      </c>
      <c r="AA338" s="9">
        <v>38</v>
      </c>
      <c r="AB338" s="9">
        <v>8</v>
      </c>
      <c r="AC338" s="9">
        <v>14</v>
      </c>
      <c r="AD338" s="9" t="s">
        <v>0</v>
      </c>
      <c r="AE338" s="9" t="s">
        <v>60</v>
      </c>
    </row>
    <row r="339" spans="1:31" ht="76.5" x14ac:dyDescent="0.2">
      <c r="A339" s="8" t="str">
        <f>HYPERLINK("http://www.patentics.cn/invokexml.do?sx=showpatent_cn&amp;sf=ShowPatent&amp;spn=US9208792&amp;sx=showpatent_cn&amp;sv=fe8f3055783a23ee4d68b8dc78ed9790","US9208792")</f>
        <v>US9208792</v>
      </c>
      <c r="B339" s="9" t="s">
        <v>1592</v>
      </c>
      <c r="C339" s="9" t="s">
        <v>1593</v>
      </c>
      <c r="D339" s="9" t="s">
        <v>48</v>
      </c>
      <c r="E339" s="9" t="s">
        <v>49</v>
      </c>
      <c r="F339" s="9" t="s">
        <v>1594</v>
      </c>
      <c r="G339" s="9" t="s">
        <v>1590</v>
      </c>
      <c r="H339" s="9" t="s">
        <v>1544</v>
      </c>
      <c r="I339" s="9" t="s">
        <v>1595</v>
      </c>
      <c r="J339" s="9" t="s">
        <v>240</v>
      </c>
      <c r="K339" s="9" t="s">
        <v>1486</v>
      </c>
      <c r="L339" s="9" t="s">
        <v>1495</v>
      </c>
      <c r="M339" s="9">
        <v>31</v>
      </c>
      <c r="N339" s="9">
        <v>12</v>
      </c>
      <c r="O339" s="9" t="s">
        <v>57</v>
      </c>
      <c r="P339" s="9" t="s">
        <v>58</v>
      </c>
      <c r="Q339" s="9">
        <v>130</v>
      </c>
      <c r="R339" s="9">
        <v>10</v>
      </c>
      <c r="S339" s="9">
        <v>120</v>
      </c>
      <c r="T339" s="9">
        <v>46</v>
      </c>
      <c r="U339" s="9">
        <v>9</v>
      </c>
      <c r="V339" s="9" t="s">
        <v>131</v>
      </c>
      <c r="W339" s="9">
        <v>1</v>
      </c>
      <c r="X339" s="9">
        <v>8</v>
      </c>
      <c r="Y339" s="9">
        <v>1</v>
      </c>
      <c r="Z339" s="9">
        <v>2</v>
      </c>
      <c r="AA339" s="9">
        <v>9</v>
      </c>
      <c r="AB339" s="9">
        <v>6</v>
      </c>
      <c r="AC339" s="9">
        <v>14</v>
      </c>
      <c r="AD339" s="9" t="s">
        <v>0</v>
      </c>
      <c r="AE339" s="9" t="s">
        <v>60</v>
      </c>
    </row>
    <row r="340" spans="1:31" ht="76.5" x14ac:dyDescent="0.2">
      <c r="A340" s="8" t="str">
        <f>HYPERLINK("http://www.patentics.cn/invokexml.do?sx=showpatent_cn&amp;sf=ShowPatent&amp;spn=US9236063&amp;sx=showpatent_cn&amp;sv=cfcc726c40a11b14c46d0ee226245480","US9236063")</f>
        <v>US9236063</v>
      </c>
      <c r="B340" s="9" t="s">
        <v>1596</v>
      </c>
      <c r="C340" s="9" t="s">
        <v>1597</v>
      </c>
      <c r="D340" s="9" t="s">
        <v>48</v>
      </c>
      <c r="E340" s="9" t="s">
        <v>49</v>
      </c>
      <c r="F340" s="9" t="s">
        <v>1582</v>
      </c>
      <c r="G340" s="9" t="s">
        <v>1583</v>
      </c>
      <c r="H340" s="9" t="s">
        <v>1584</v>
      </c>
      <c r="I340" s="9" t="s">
        <v>1585</v>
      </c>
      <c r="J340" s="9" t="s">
        <v>594</v>
      </c>
      <c r="K340" s="9" t="s">
        <v>1486</v>
      </c>
      <c r="L340" s="9" t="s">
        <v>1598</v>
      </c>
      <c r="M340" s="9">
        <v>31</v>
      </c>
      <c r="N340" s="9">
        <v>11</v>
      </c>
      <c r="O340" s="9" t="s">
        <v>57</v>
      </c>
      <c r="P340" s="9" t="s">
        <v>58</v>
      </c>
      <c r="Q340" s="9">
        <v>129</v>
      </c>
      <c r="R340" s="9">
        <v>10</v>
      </c>
      <c r="S340" s="9">
        <v>119</v>
      </c>
      <c r="T340" s="9">
        <v>46</v>
      </c>
      <c r="U340" s="9">
        <v>8</v>
      </c>
      <c r="V340" s="9" t="s">
        <v>114</v>
      </c>
      <c r="W340" s="9">
        <v>0</v>
      </c>
      <c r="X340" s="9">
        <v>8</v>
      </c>
      <c r="Y340" s="9">
        <v>0</v>
      </c>
      <c r="Z340" s="9">
        <v>1</v>
      </c>
      <c r="AA340" s="9">
        <v>38</v>
      </c>
      <c r="AB340" s="9">
        <v>8</v>
      </c>
      <c r="AC340" s="9">
        <v>14</v>
      </c>
      <c r="AD340" s="9" t="s">
        <v>0</v>
      </c>
      <c r="AE340" s="9" t="s">
        <v>60</v>
      </c>
    </row>
    <row r="341" spans="1:31" ht="63.75" x14ac:dyDescent="0.2">
      <c r="A341" s="8" t="str">
        <f>HYPERLINK("http://www.patentics.cn/invokexml.do?sx=showpatent_cn&amp;sf=ShowPatent&amp;spn=CN103038820&amp;sx=showpatent_cn&amp;sv=9cf8c04d439babb99fa74ea1d4dfee3f","CN103038820")</f>
        <v>CN103038820</v>
      </c>
      <c r="B341" s="9" t="s">
        <v>1599</v>
      </c>
      <c r="C341" s="9" t="s">
        <v>1600</v>
      </c>
      <c r="D341" s="9" t="s">
        <v>301</v>
      </c>
      <c r="E341" s="9" t="s">
        <v>301</v>
      </c>
      <c r="F341" s="9" t="s">
        <v>1601</v>
      </c>
      <c r="G341" s="9" t="s">
        <v>1602</v>
      </c>
      <c r="H341" s="9" t="s">
        <v>1584</v>
      </c>
      <c r="I341" s="9" t="s">
        <v>1603</v>
      </c>
      <c r="J341" s="9" t="s">
        <v>1604</v>
      </c>
      <c r="K341" s="9" t="s">
        <v>1486</v>
      </c>
      <c r="L341" s="9" t="s">
        <v>1605</v>
      </c>
      <c r="M341" s="9">
        <v>40</v>
      </c>
      <c r="N341" s="9">
        <v>14</v>
      </c>
      <c r="O341" s="9" t="s">
        <v>42</v>
      </c>
      <c r="P341" s="9" t="s">
        <v>58</v>
      </c>
      <c r="Q341" s="9">
        <v>4</v>
      </c>
      <c r="R341" s="9">
        <v>1</v>
      </c>
      <c r="S341" s="9">
        <v>3</v>
      </c>
      <c r="T341" s="9">
        <v>3</v>
      </c>
      <c r="U341" s="9">
        <v>8</v>
      </c>
      <c r="V341" s="9" t="s">
        <v>114</v>
      </c>
      <c r="W341" s="9">
        <v>0</v>
      </c>
      <c r="X341" s="9">
        <v>8</v>
      </c>
      <c r="Y341" s="9">
        <v>0</v>
      </c>
      <c r="Z341" s="9">
        <v>1</v>
      </c>
      <c r="AA341" s="9">
        <v>38</v>
      </c>
      <c r="AB341" s="9">
        <v>8</v>
      </c>
      <c r="AC341" s="9">
        <v>14</v>
      </c>
      <c r="AD341" s="9" t="s">
        <v>0</v>
      </c>
      <c r="AE341" s="9" t="s">
        <v>45</v>
      </c>
    </row>
    <row r="342" spans="1:31" ht="63.75" x14ac:dyDescent="0.2">
      <c r="A342" s="6" t="str">
        <f>HYPERLINK("http://www.patentics.cn/invokexml.do?sx=showpatent_cn&amp;sf=ShowPatent&amp;spn=CN1537395&amp;sx=showpatent_cn&amp;sv=55e3af1ed15acd242a583b635e1c7535","CN1537395")</f>
        <v>CN1537395</v>
      </c>
      <c r="B342" s="7" t="s">
        <v>1606</v>
      </c>
      <c r="C342" s="7" t="s">
        <v>1607</v>
      </c>
      <c r="D342" s="7" t="s">
        <v>1608</v>
      </c>
      <c r="E342" s="7" t="s">
        <v>1608</v>
      </c>
      <c r="F342" s="7" t="s">
        <v>1609</v>
      </c>
      <c r="G342" s="7" t="s">
        <v>1610</v>
      </c>
      <c r="H342" s="7" t="s">
        <v>1611</v>
      </c>
      <c r="I342" s="7" t="s">
        <v>1612</v>
      </c>
      <c r="J342" s="7" t="s">
        <v>1613</v>
      </c>
      <c r="K342" s="7" t="s">
        <v>96</v>
      </c>
      <c r="L342" s="7" t="s">
        <v>1253</v>
      </c>
      <c r="M342" s="7">
        <v>43</v>
      </c>
      <c r="N342" s="7">
        <v>21</v>
      </c>
      <c r="O342" s="7" t="s">
        <v>42</v>
      </c>
      <c r="P342" s="7" t="s">
        <v>58</v>
      </c>
      <c r="Q342" s="7">
        <v>7</v>
      </c>
      <c r="R342" s="7">
        <v>5</v>
      </c>
      <c r="S342" s="7">
        <v>2</v>
      </c>
      <c r="T342" s="7">
        <v>2</v>
      </c>
      <c r="U342" s="7">
        <v>15</v>
      </c>
      <c r="V342" s="7" t="s">
        <v>1614</v>
      </c>
      <c r="W342" s="7">
        <v>1</v>
      </c>
      <c r="X342" s="7">
        <v>14</v>
      </c>
      <c r="Y342" s="7">
        <v>7</v>
      </c>
      <c r="Z342" s="7">
        <v>2</v>
      </c>
      <c r="AA342" s="7">
        <v>23</v>
      </c>
      <c r="AB342" s="7">
        <v>13</v>
      </c>
      <c r="AC342" s="7" t="s">
        <v>0</v>
      </c>
      <c r="AD342" s="7">
        <v>5</v>
      </c>
      <c r="AE342" s="7" t="s">
        <v>532</v>
      </c>
    </row>
    <row r="343" spans="1:31" ht="89.25" x14ac:dyDescent="0.2">
      <c r="A343" s="8" t="str">
        <f>HYPERLINK("http://www.patentics.cn/invokexml.do?sx=showpatent_cn&amp;sf=ShowPatent&amp;spn=US8867987&amp;sx=showpatent_cn&amp;sv=95d86c114aa78d7569e8454497a1ff16","US8867987")</f>
        <v>US8867987</v>
      </c>
      <c r="B343" s="9" t="s">
        <v>1615</v>
      </c>
      <c r="C343" s="9" t="s">
        <v>1616</v>
      </c>
      <c r="D343" s="9" t="s">
        <v>48</v>
      </c>
      <c r="E343" s="9" t="s">
        <v>49</v>
      </c>
      <c r="F343" s="9" t="s">
        <v>1617</v>
      </c>
      <c r="G343" s="9" t="s">
        <v>1618</v>
      </c>
      <c r="H343" s="9" t="s">
        <v>1619</v>
      </c>
      <c r="I343" s="9" t="s">
        <v>1620</v>
      </c>
      <c r="J343" s="9" t="s">
        <v>1021</v>
      </c>
      <c r="K343" s="9" t="s">
        <v>89</v>
      </c>
      <c r="L343" s="9" t="s">
        <v>236</v>
      </c>
      <c r="M343" s="9">
        <v>12</v>
      </c>
      <c r="N343" s="9">
        <v>37</v>
      </c>
      <c r="O343" s="9" t="s">
        <v>57</v>
      </c>
      <c r="P343" s="9" t="s">
        <v>58</v>
      </c>
      <c r="Q343" s="9">
        <v>86</v>
      </c>
      <c r="R343" s="9">
        <v>24</v>
      </c>
      <c r="S343" s="9">
        <v>62</v>
      </c>
      <c r="T343" s="9">
        <v>33</v>
      </c>
      <c r="U343" s="9">
        <v>0</v>
      </c>
      <c r="V343" s="9" t="s">
        <v>114</v>
      </c>
      <c r="W343" s="9">
        <v>0</v>
      </c>
      <c r="X343" s="9">
        <v>0</v>
      </c>
      <c r="Y343" s="9">
        <v>0</v>
      </c>
      <c r="Z343" s="9">
        <v>0</v>
      </c>
      <c r="AA343" s="9">
        <v>48</v>
      </c>
      <c r="AB343" s="9">
        <v>8</v>
      </c>
      <c r="AC343" s="9">
        <v>14</v>
      </c>
      <c r="AD343" s="9" t="s">
        <v>0</v>
      </c>
      <c r="AE343" s="9" t="s">
        <v>60</v>
      </c>
    </row>
    <row r="344" spans="1:31" ht="89.25" x14ac:dyDescent="0.2">
      <c r="A344" s="8" t="str">
        <f>HYPERLINK("http://www.patentics.cn/invokexml.do?sx=showpatent_cn&amp;sf=ShowPatent&amp;spn=US8874027&amp;sx=showpatent_cn&amp;sv=eaa7180e81e7d41e0b58c8744aff532e","US8874027")</f>
        <v>US8874027</v>
      </c>
      <c r="B344" s="9" t="s">
        <v>1621</v>
      </c>
      <c r="C344" s="9" t="s">
        <v>1622</v>
      </c>
      <c r="D344" s="9" t="s">
        <v>48</v>
      </c>
      <c r="E344" s="9" t="s">
        <v>49</v>
      </c>
      <c r="F344" s="9" t="s">
        <v>1623</v>
      </c>
      <c r="G344" s="9" t="s">
        <v>126</v>
      </c>
      <c r="H344" s="9" t="s">
        <v>1619</v>
      </c>
      <c r="I344" s="9" t="s">
        <v>1620</v>
      </c>
      <c r="J344" s="9" t="s">
        <v>804</v>
      </c>
      <c r="K344" s="9" t="s">
        <v>89</v>
      </c>
      <c r="L344" s="9" t="s">
        <v>1624</v>
      </c>
      <c r="M344" s="9">
        <v>9</v>
      </c>
      <c r="N344" s="9">
        <v>18</v>
      </c>
      <c r="O344" s="9" t="s">
        <v>57</v>
      </c>
      <c r="P344" s="9" t="s">
        <v>58</v>
      </c>
      <c r="Q344" s="9">
        <v>85</v>
      </c>
      <c r="R344" s="9">
        <v>22</v>
      </c>
      <c r="S344" s="9">
        <v>63</v>
      </c>
      <c r="T344" s="9">
        <v>34</v>
      </c>
      <c r="U344" s="9">
        <v>0</v>
      </c>
      <c r="V344" s="9" t="s">
        <v>114</v>
      </c>
      <c r="W344" s="9">
        <v>0</v>
      </c>
      <c r="X344" s="9">
        <v>0</v>
      </c>
      <c r="Y344" s="9">
        <v>0</v>
      </c>
      <c r="Z344" s="9">
        <v>0</v>
      </c>
      <c r="AA344" s="9">
        <v>48</v>
      </c>
      <c r="AB344" s="9">
        <v>8</v>
      </c>
      <c r="AC344" s="9">
        <v>14</v>
      </c>
      <c r="AD344" s="9" t="s">
        <v>0</v>
      </c>
      <c r="AE344" s="9" t="s">
        <v>60</v>
      </c>
    </row>
    <row r="345" spans="1:31" ht="114.75" x14ac:dyDescent="0.2">
      <c r="A345" s="8" t="str">
        <f>HYPERLINK("http://www.patentics.cn/invokexml.do?sx=showpatent_cn&amp;sf=ShowPatent&amp;spn=US8886115&amp;sx=showpatent_cn&amp;sv=96eae88fcd077ba74f804efe4e76255a","US8886115")</f>
        <v>US8886115</v>
      </c>
      <c r="B345" s="9" t="s">
        <v>1625</v>
      </c>
      <c r="C345" s="9" t="s">
        <v>1626</v>
      </c>
      <c r="D345" s="9" t="s">
        <v>48</v>
      </c>
      <c r="E345" s="9" t="s">
        <v>49</v>
      </c>
      <c r="F345" s="9" t="s">
        <v>1627</v>
      </c>
      <c r="G345" s="9" t="s">
        <v>1618</v>
      </c>
      <c r="H345" s="9" t="s">
        <v>1619</v>
      </c>
      <c r="I345" s="9" t="s">
        <v>1620</v>
      </c>
      <c r="J345" s="9" t="s">
        <v>167</v>
      </c>
      <c r="K345" s="9" t="s">
        <v>89</v>
      </c>
      <c r="L345" s="9" t="s">
        <v>236</v>
      </c>
      <c r="M345" s="9">
        <v>28</v>
      </c>
      <c r="N345" s="9">
        <v>24</v>
      </c>
      <c r="O345" s="9" t="s">
        <v>57</v>
      </c>
      <c r="P345" s="9" t="s">
        <v>58</v>
      </c>
      <c r="Q345" s="9">
        <v>86</v>
      </c>
      <c r="R345" s="9">
        <v>24</v>
      </c>
      <c r="S345" s="9">
        <v>62</v>
      </c>
      <c r="T345" s="9">
        <v>33</v>
      </c>
      <c r="U345" s="9">
        <v>1</v>
      </c>
      <c r="V345" s="9" t="s">
        <v>142</v>
      </c>
      <c r="W345" s="9">
        <v>0</v>
      </c>
      <c r="X345" s="9">
        <v>1</v>
      </c>
      <c r="Y345" s="9">
        <v>1</v>
      </c>
      <c r="Z345" s="9">
        <v>1</v>
      </c>
      <c r="AA345" s="9">
        <v>48</v>
      </c>
      <c r="AB345" s="9">
        <v>8</v>
      </c>
      <c r="AC345" s="9">
        <v>14</v>
      </c>
      <c r="AD345" s="9" t="s">
        <v>0</v>
      </c>
      <c r="AE345" s="9" t="s">
        <v>60</v>
      </c>
    </row>
    <row r="346" spans="1:31" ht="38.25" x14ac:dyDescent="0.2">
      <c r="A346" s="8" t="str">
        <f>HYPERLINK("http://www.patentics.cn/invokexml.do?sx=showpatent_cn&amp;sf=ShowPatent&amp;spn=CN102422566B&amp;sx=showpatent_cn&amp;sv=dc5e86cbfe32bc861b1eaedfe52d818f","CN102422566B")</f>
        <v>CN102422566B</v>
      </c>
      <c r="B346" s="9" t="s">
        <v>1628</v>
      </c>
      <c r="C346" s="9" t="s">
        <v>1629</v>
      </c>
      <c r="D346" s="9" t="s">
        <v>301</v>
      </c>
      <c r="E346" s="9" t="s">
        <v>301</v>
      </c>
      <c r="F346" s="9" t="s">
        <v>1630</v>
      </c>
      <c r="G346" s="9" t="s">
        <v>1631</v>
      </c>
      <c r="H346" s="9" t="s">
        <v>1619</v>
      </c>
      <c r="I346" s="9" t="s">
        <v>1632</v>
      </c>
      <c r="J346" s="9" t="s">
        <v>1633</v>
      </c>
      <c r="K346" s="9" t="s">
        <v>89</v>
      </c>
      <c r="L346" s="9" t="s">
        <v>1634</v>
      </c>
      <c r="M346" s="9">
        <v>28</v>
      </c>
      <c r="N346" s="9">
        <v>29</v>
      </c>
      <c r="O346" s="9" t="s">
        <v>57</v>
      </c>
      <c r="P346" s="9" t="s">
        <v>58</v>
      </c>
      <c r="Q346" s="9">
        <v>4</v>
      </c>
      <c r="R346" s="9">
        <v>0</v>
      </c>
      <c r="S346" s="9">
        <v>4</v>
      </c>
      <c r="T346" s="9">
        <v>3</v>
      </c>
      <c r="U346" s="9">
        <v>0</v>
      </c>
      <c r="V346" s="9" t="s">
        <v>114</v>
      </c>
      <c r="W346" s="9">
        <v>0</v>
      </c>
      <c r="X346" s="9">
        <v>0</v>
      </c>
      <c r="Y346" s="9">
        <v>0</v>
      </c>
      <c r="Z346" s="9">
        <v>0</v>
      </c>
      <c r="AA346" s="9">
        <v>48</v>
      </c>
      <c r="AB346" s="9">
        <v>8</v>
      </c>
      <c r="AC346" s="9">
        <v>14</v>
      </c>
      <c r="AD346" s="9" t="s">
        <v>0</v>
      </c>
      <c r="AE346" s="9" t="s">
        <v>60</v>
      </c>
    </row>
    <row r="347" spans="1:31" ht="38.25" x14ac:dyDescent="0.2">
      <c r="A347" s="8" t="str">
        <f>HYPERLINK("http://www.patentics.cn/invokexml.do?sx=showpatent_cn&amp;sf=ShowPatent&amp;spn=CN102422566&amp;sx=showpatent_cn&amp;sv=e2bb764e2d71c053767449ac47e1c854","CN102422566")</f>
        <v>CN102422566</v>
      </c>
      <c r="B347" s="9" t="s">
        <v>1628</v>
      </c>
      <c r="C347" s="9" t="s">
        <v>1629</v>
      </c>
      <c r="D347" s="9" t="s">
        <v>301</v>
      </c>
      <c r="E347" s="9" t="s">
        <v>301</v>
      </c>
      <c r="F347" s="9" t="s">
        <v>1630</v>
      </c>
      <c r="G347" s="9" t="s">
        <v>1631</v>
      </c>
      <c r="H347" s="9" t="s">
        <v>1619</v>
      </c>
      <c r="I347" s="9" t="s">
        <v>1632</v>
      </c>
      <c r="J347" s="9" t="s">
        <v>1635</v>
      </c>
      <c r="K347" s="9" t="s">
        <v>89</v>
      </c>
      <c r="L347" s="9" t="s">
        <v>1634</v>
      </c>
      <c r="M347" s="9">
        <v>28</v>
      </c>
      <c r="N347" s="9">
        <v>27</v>
      </c>
      <c r="O347" s="9" t="s">
        <v>42</v>
      </c>
      <c r="P347" s="9" t="s">
        <v>58</v>
      </c>
      <c r="Q347" s="9">
        <v>4</v>
      </c>
      <c r="R347" s="9">
        <v>0</v>
      </c>
      <c r="S347" s="9">
        <v>4</v>
      </c>
      <c r="T347" s="9">
        <v>3</v>
      </c>
      <c r="U347" s="9">
        <v>0</v>
      </c>
      <c r="V347" s="9" t="s">
        <v>114</v>
      </c>
      <c r="W347" s="9">
        <v>0</v>
      </c>
      <c r="X347" s="9">
        <v>0</v>
      </c>
      <c r="Y347" s="9">
        <v>0</v>
      </c>
      <c r="Z347" s="9">
        <v>0</v>
      </c>
      <c r="AA347" s="9">
        <v>48</v>
      </c>
      <c r="AB347" s="9">
        <v>8</v>
      </c>
      <c r="AC347" s="9">
        <v>14</v>
      </c>
      <c r="AD347" s="9" t="s">
        <v>0</v>
      </c>
      <c r="AE347" s="9" t="s">
        <v>60</v>
      </c>
    </row>
    <row r="348" spans="1:31" ht="25.5" x14ac:dyDescent="0.2">
      <c r="A348" s="6" t="str">
        <f>HYPERLINK("http://www.patentics.cn/invokexml.do?sx=showpatent_cn&amp;sf=ShowPatent&amp;spn=CN1348310&amp;sx=showpatent_cn&amp;sv=5212a69fd9af3e9dce395333ee67fda5","CN1348310")</f>
        <v>CN1348310</v>
      </c>
      <c r="B348" s="7" t="s">
        <v>1636</v>
      </c>
      <c r="C348" s="7" t="s">
        <v>1637</v>
      </c>
      <c r="D348" s="7" t="s">
        <v>1383</v>
      </c>
      <c r="E348" s="7" t="s">
        <v>1383</v>
      </c>
      <c r="F348" s="7" t="s">
        <v>1638</v>
      </c>
      <c r="G348" s="7" t="s">
        <v>1639</v>
      </c>
      <c r="H348" s="7" t="s">
        <v>1640</v>
      </c>
      <c r="I348" s="7" t="s">
        <v>1641</v>
      </c>
      <c r="J348" s="7" t="s">
        <v>1642</v>
      </c>
      <c r="K348" s="7" t="s">
        <v>714</v>
      </c>
      <c r="L348" s="7" t="s">
        <v>1643</v>
      </c>
      <c r="M348" s="7">
        <v>18</v>
      </c>
      <c r="N348" s="7">
        <v>9</v>
      </c>
      <c r="O348" s="7" t="s">
        <v>42</v>
      </c>
      <c r="P348" s="7" t="s">
        <v>43</v>
      </c>
      <c r="Q348" s="7">
        <v>1</v>
      </c>
      <c r="R348" s="7">
        <v>1</v>
      </c>
      <c r="S348" s="7">
        <v>0</v>
      </c>
      <c r="T348" s="7">
        <v>1</v>
      </c>
      <c r="U348" s="7">
        <v>9</v>
      </c>
      <c r="V348" s="7" t="s">
        <v>1644</v>
      </c>
      <c r="W348" s="7">
        <v>1</v>
      </c>
      <c r="X348" s="7">
        <v>8</v>
      </c>
      <c r="Y348" s="7">
        <v>4</v>
      </c>
      <c r="Z348" s="7">
        <v>2</v>
      </c>
      <c r="AA348" s="7">
        <v>1</v>
      </c>
      <c r="AB348" s="7">
        <v>1</v>
      </c>
      <c r="AC348" s="7" t="s">
        <v>0</v>
      </c>
      <c r="AD348" s="7">
        <v>5</v>
      </c>
      <c r="AE348" s="7" t="s">
        <v>532</v>
      </c>
    </row>
    <row r="349" spans="1:31" ht="102" x14ac:dyDescent="0.2">
      <c r="A349" s="8" t="str">
        <f>HYPERLINK("http://www.patentics.cn/invokexml.do?sx=showpatent_cn&amp;sf=ShowPatent&amp;spn=US9003243&amp;sx=showpatent_cn&amp;sv=ef3562204457575db88e4f6daa7a8c60","US9003243")</f>
        <v>US9003243</v>
      </c>
      <c r="B349" s="9" t="s">
        <v>1645</v>
      </c>
      <c r="C349" s="9" t="s">
        <v>1646</v>
      </c>
      <c r="D349" s="9" t="s">
        <v>48</v>
      </c>
      <c r="E349" s="9" t="s">
        <v>49</v>
      </c>
      <c r="F349" s="9" t="s">
        <v>1647</v>
      </c>
      <c r="G349" s="9" t="s">
        <v>1618</v>
      </c>
      <c r="H349" s="9" t="s">
        <v>1648</v>
      </c>
      <c r="I349" s="9" t="s">
        <v>1649</v>
      </c>
      <c r="J349" s="9" t="s">
        <v>1110</v>
      </c>
      <c r="K349" s="9" t="s">
        <v>885</v>
      </c>
      <c r="L349" s="9" t="s">
        <v>1650</v>
      </c>
      <c r="M349" s="9">
        <v>82</v>
      </c>
      <c r="N349" s="9">
        <v>8</v>
      </c>
      <c r="O349" s="9" t="s">
        <v>57</v>
      </c>
      <c r="P349" s="9" t="s">
        <v>58</v>
      </c>
      <c r="Q349" s="9">
        <v>139</v>
      </c>
      <c r="R349" s="9">
        <v>43</v>
      </c>
      <c r="S349" s="9">
        <v>96</v>
      </c>
      <c r="T349" s="9">
        <v>54</v>
      </c>
      <c r="U349" s="9">
        <v>0</v>
      </c>
      <c r="V349" s="9" t="s">
        <v>114</v>
      </c>
      <c r="W349" s="9">
        <v>0</v>
      </c>
      <c r="X349" s="9">
        <v>0</v>
      </c>
      <c r="Y349" s="9">
        <v>0</v>
      </c>
      <c r="Z349" s="9">
        <v>0</v>
      </c>
      <c r="AA349" s="9">
        <v>74</v>
      </c>
      <c r="AB349" s="9">
        <v>17</v>
      </c>
      <c r="AC349" s="9">
        <v>14</v>
      </c>
      <c r="AD349" s="9" t="s">
        <v>0</v>
      </c>
      <c r="AE349" s="9" t="s">
        <v>60</v>
      </c>
    </row>
    <row r="350" spans="1:31" ht="38.25" x14ac:dyDescent="0.2">
      <c r="A350" s="8" t="str">
        <f>HYPERLINK("http://www.patentics.cn/invokexml.do?sx=showpatent_cn&amp;sf=ShowPatent&amp;spn=US9042212&amp;sx=showpatent_cn&amp;sv=0e213e072e9751d8a494477633297062","US9042212")</f>
        <v>US9042212</v>
      </c>
      <c r="B350" s="9" t="s">
        <v>1651</v>
      </c>
      <c r="C350" s="9" t="s">
        <v>1652</v>
      </c>
      <c r="D350" s="9" t="s">
        <v>48</v>
      </c>
      <c r="E350" s="9" t="s">
        <v>49</v>
      </c>
      <c r="F350" s="9" t="s">
        <v>1618</v>
      </c>
      <c r="G350" s="9" t="s">
        <v>1618</v>
      </c>
      <c r="H350" s="9" t="s">
        <v>180</v>
      </c>
      <c r="I350" s="9" t="s">
        <v>180</v>
      </c>
      <c r="J350" s="9" t="s">
        <v>1653</v>
      </c>
      <c r="K350" s="9" t="s">
        <v>40</v>
      </c>
      <c r="L350" s="9" t="s">
        <v>41</v>
      </c>
      <c r="M350" s="9">
        <v>104</v>
      </c>
      <c r="N350" s="9">
        <v>7</v>
      </c>
      <c r="O350" s="9" t="s">
        <v>57</v>
      </c>
      <c r="P350" s="9" t="s">
        <v>58</v>
      </c>
      <c r="Q350" s="9">
        <v>130</v>
      </c>
      <c r="R350" s="9">
        <v>42</v>
      </c>
      <c r="S350" s="9">
        <v>88</v>
      </c>
      <c r="T350" s="9">
        <v>47</v>
      </c>
      <c r="U350" s="9">
        <v>0</v>
      </c>
      <c r="V350" s="9" t="s">
        <v>114</v>
      </c>
      <c r="W350" s="9">
        <v>0</v>
      </c>
      <c r="X350" s="9">
        <v>0</v>
      </c>
      <c r="Y350" s="9">
        <v>0</v>
      </c>
      <c r="Z350" s="9">
        <v>0</v>
      </c>
      <c r="AA350" s="9">
        <v>18</v>
      </c>
      <c r="AB350" s="9">
        <v>14</v>
      </c>
      <c r="AC350" s="9">
        <v>14</v>
      </c>
      <c r="AD350" s="9" t="s">
        <v>0</v>
      </c>
      <c r="AE350" s="9" t="s">
        <v>60</v>
      </c>
    </row>
    <row r="351" spans="1:31" ht="178.5" x14ac:dyDescent="0.2">
      <c r="A351" s="8" t="str">
        <f>HYPERLINK("http://www.patentics.cn/invokexml.do?sx=showpatent_cn&amp;sf=ShowPatent&amp;spn=US9246728&amp;sx=showpatent_cn&amp;sv=acb7a632a4b2c5704c9fffa4694bfb27","US9246728")</f>
        <v>US9246728</v>
      </c>
      <c r="B351" s="9" t="s">
        <v>1654</v>
      </c>
      <c r="C351" s="9" t="s">
        <v>1655</v>
      </c>
      <c r="D351" s="9" t="s">
        <v>48</v>
      </c>
      <c r="E351" s="9" t="s">
        <v>49</v>
      </c>
      <c r="F351" s="9" t="s">
        <v>1656</v>
      </c>
      <c r="G351" s="9" t="s">
        <v>1618</v>
      </c>
      <c r="H351" s="9" t="s">
        <v>1657</v>
      </c>
      <c r="I351" s="9" t="s">
        <v>1657</v>
      </c>
      <c r="J351" s="9" t="s">
        <v>262</v>
      </c>
      <c r="K351" s="9" t="s">
        <v>89</v>
      </c>
      <c r="L351" s="9" t="s">
        <v>90</v>
      </c>
      <c r="M351" s="9">
        <v>25</v>
      </c>
      <c r="N351" s="9">
        <v>12</v>
      </c>
      <c r="O351" s="9" t="s">
        <v>57</v>
      </c>
      <c r="P351" s="9" t="s">
        <v>58</v>
      </c>
      <c r="Q351" s="9">
        <v>144</v>
      </c>
      <c r="R351" s="9">
        <v>41</v>
      </c>
      <c r="S351" s="9">
        <v>103</v>
      </c>
      <c r="T351" s="9">
        <v>53</v>
      </c>
      <c r="U351" s="9">
        <v>0</v>
      </c>
      <c r="V351" s="9" t="s">
        <v>114</v>
      </c>
      <c r="W351" s="9">
        <v>0</v>
      </c>
      <c r="X351" s="9">
        <v>0</v>
      </c>
      <c r="Y351" s="9">
        <v>0</v>
      </c>
      <c r="Z351" s="9">
        <v>0</v>
      </c>
      <c r="AA351" s="9">
        <v>1</v>
      </c>
      <c r="AB351" s="9">
        <v>2</v>
      </c>
      <c r="AC351" s="9">
        <v>14</v>
      </c>
      <c r="AD351" s="9" t="s">
        <v>0</v>
      </c>
      <c r="AE351" s="9" t="s">
        <v>60</v>
      </c>
    </row>
    <row r="352" spans="1:31" ht="178.5" x14ac:dyDescent="0.2">
      <c r="A352" s="8" t="str">
        <f>HYPERLINK("http://www.patentics.cn/invokexml.do?sx=showpatent_cn&amp;sf=ShowPatent&amp;spn=US9391751&amp;sx=showpatent_cn&amp;sv=f4c9b7f2ebe6553a26ac6336e753b044","US9391751")</f>
        <v>US9391751</v>
      </c>
      <c r="B352" s="9" t="s">
        <v>1658</v>
      </c>
      <c r="C352" s="9" t="s">
        <v>1655</v>
      </c>
      <c r="D352" s="9" t="s">
        <v>48</v>
      </c>
      <c r="E352" s="9" t="s">
        <v>49</v>
      </c>
      <c r="F352" s="9" t="s">
        <v>1659</v>
      </c>
      <c r="G352" s="9" t="s">
        <v>1660</v>
      </c>
      <c r="H352" s="9" t="s">
        <v>1661</v>
      </c>
      <c r="I352" s="9" t="s">
        <v>1662</v>
      </c>
      <c r="J352" s="9" t="s">
        <v>980</v>
      </c>
      <c r="K352" s="9" t="s">
        <v>89</v>
      </c>
      <c r="L352" s="9" t="s">
        <v>90</v>
      </c>
      <c r="M352" s="9">
        <v>34</v>
      </c>
      <c r="N352" s="9">
        <v>8</v>
      </c>
      <c r="O352" s="9" t="s">
        <v>57</v>
      </c>
      <c r="P352" s="9" t="s">
        <v>58</v>
      </c>
      <c r="Q352" s="9">
        <v>145</v>
      </c>
      <c r="R352" s="9">
        <v>43</v>
      </c>
      <c r="S352" s="9">
        <v>102</v>
      </c>
      <c r="T352" s="9">
        <v>53</v>
      </c>
      <c r="U352" s="9">
        <v>0</v>
      </c>
      <c r="V352" s="9" t="s">
        <v>114</v>
      </c>
      <c r="W352" s="9">
        <v>0</v>
      </c>
      <c r="X352" s="9">
        <v>0</v>
      </c>
      <c r="Y352" s="9">
        <v>0</v>
      </c>
      <c r="Z352" s="9">
        <v>0</v>
      </c>
      <c r="AA352" s="9">
        <v>6</v>
      </c>
      <c r="AB352" s="9">
        <v>5</v>
      </c>
      <c r="AC352" s="9">
        <v>14</v>
      </c>
      <c r="AD352" s="9" t="s">
        <v>0</v>
      </c>
      <c r="AE352" s="9" t="s">
        <v>60</v>
      </c>
    </row>
    <row r="353" spans="1:31" ht="76.5" x14ac:dyDescent="0.2">
      <c r="A353" s="8" t="str">
        <f>HYPERLINK("http://www.patentics.cn/invokexml.do?sx=showpatent_cn&amp;sf=ShowPatent&amp;spn=CN102970115B&amp;sx=showpatent_cn&amp;sv=c4f28034486daa25c135184e0091bb2e","CN102970115B")</f>
        <v>CN102970115B</v>
      </c>
      <c r="B353" s="9" t="s">
        <v>1663</v>
      </c>
      <c r="C353" s="9" t="s">
        <v>1664</v>
      </c>
      <c r="D353" s="9" t="s">
        <v>301</v>
      </c>
      <c r="E353" s="9" t="s">
        <v>301</v>
      </c>
      <c r="F353" s="9" t="s">
        <v>1665</v>
      </c>
      <c r="G353" s="9" t="s">
        <v>1666</v>
      </c>
      <c r="H353" s="9" t="s">
        <v>1648</v>
      </c>
      <c r="I353" s="9" t="s">
        <v>1649</v>
      </c>
      <c r="J353" s="9" t="s">
        <v>1667</v>
      </c>
      <c r="K353" s="9" t="s">
        <v>68</v>
      </c>
      <c r="L353" s="9" t="s">
        <v>1668</v>
      </c>
      <c r="M353" s="9">
        <v>18</v>
      </c>
      <c r="N353" s="9">
        <v>18</v>
      </c>
      <c r="O353" s="9" t="s">
        <v>57</v>
      </c>
      <c r="P353" s="9" t="s">
        <v>58</v>
      </c>
      <c r="Q353" s="9">
        <v>2</v>
      </c>
      <c r="R353" s="9">
        <v>0</v>
      </c>
      <c r="S353" s="9">
        <v>2</v>
      </c>
      <c r="T353" s="9">
        <v>2</v>
      </c>
      <c r="U353" s="9">
        <v>0</v>
      </c>
      <c r="V353" s="9" t="s">
        <v>114</v>
      </c>
      <c r="W353" s="9">
        <v>0</v>
      </c>
      <c r="X353" s="9">
        <v>0</v>
      </c>
      <c r="Y353" s="9">
        <v>0</v>
      </c>
      <c r="Z353" s="9">
        <v>0</v>
      </c>
      <c r="AA353" s="9">
        <v>0</v>
      </c>
      <c r="AB353" s="9">
        <v>0</v>
      </c>
      <c r="AC353" s="9">
        <v>14</v>
      </c>
      <c r="AD353" s="9" t="s">
        <v>0</v>
      </c>
      <c r="AE353" s="9" t="s">
        <v>60</v>
      </c>
    </row>
    <row r="354" spans="1:31" ht="25.5" x14ac:dyDescent="0.2">
      <c r="A354" s="6" t="str">
        <f>HYPERLINK("http://www.patentics.cn/invokexml.do?sx=showpatent_cn&amp;sf=ShowPatent&amp;spn=CN102522181&amp;sx=showpatent_cn&amp;sv=5266f01e2e56a0ce5b801c6e71b23774","CN102522181")</f>
        <v>CN102522181</v>
      </c>
      <c r="B354" s="7" t="s">
        <v>1669</v>
      </c>
      <c r="C354" s="7" t="s">
        <v>1670</v>
      </c>
      <c r="D354" s="7" t="s">
        <v>1420</v>
      </c>
      <c r="E354" s="7" t="s">
        <v>1420</v>
      </c>
      <c r="F354" s="7" t="s">
        <v>1671</v>
      </c>
      <c r="G354" s="7" t="s">
        <v>1672</v>
      </c>
      <c r="H354" s="7" t="s">
        <v>1673</v>
      </c>
      <c r="I354" s="7" t="s">
        <v>1673</v>
      </c>
      <c r="J354" s="7" t="s">
        <v>1674</v>
      </c>
      <c r="K354" s="7" t="s">
        <v>540</v>
      </c>
      <c r="L354" s="7" t="s">
        <v>1675</v>
      </c>
      <c r="M354" s="7">
        <v>6</v>
      </c>
      <c r="N354" s="7">
        <v>24</v>
      </c>
      <c r="O354" s="7" t="s">
        <v>42</v>
      </c>
      <c r="P354" s="7" t="s">
        <v>43</v>
      </c>
      <c r="Q354" s="7">
        <v>6</v>
      </c>
      <c r="R354" s="7">
        <v>0</v>
      </c>
      <c r="S354" s="7">
        <v>6</v>
      </c>
      <c r="T354" s="7">
        <v>5</v>
      </c>
      <c r="U354" s="7">
        <v>5</v>
      </c>
      <c r="V354" s="7" t="s">
        <v>1676</v>
      </c>
      <c r="W354" s="7">
        <v>1</v>
      </c>
      <c r="X354" s="7">
        <v>4</v>
      </c>
      <c r="Y354" s="7">
        <v>2</v>
      </c>
      <c r="Z354" s="7">
        <v>3</v>
      </c>
      <c r="AA354" s="7">
        <v>1</v>
      </c>
      <c r="AB354" s="7">
        <v>1</v>
      </c>
      <c r="AC354" s="7" t="s">
        <v>0</v>
      </c>
      <c r="AD354" s="7">
        <v>4</v>
      </c>
      <c r="AE354" s="7" t="s">
        <v>60</v>
      </c>
    </row>
    <row r="355" spans="1:31" ht="102" x14ac:dyDescent="0.2">
      <c r="A355" s="8" t="str">
        <f>HYPERLINK("http://www.patentics.cn/invokexml.do?sx=showpatent_cn&amp;sf=ShowPatent&amp;spn=US9431473&amp;sx=showpatent_cn&amp;sv=a2ee46f42f7efb1e7febf4d4017e3112","US9431473")</f>
        <v>US9431473</v>
      </c>
      <c r="B355" s="9" t="s">
        <v>1677</v>
      </c>
      <c r="C355" s="9" t="s">
        <v>1678</v>
      </c>
      <c r="D355" s="9" t="s">
        <v>48</v>
      </c>
      <c r="E355" s="9" t="s">
        <v>49</v>
      </c>
      <c r="F355" s="9" t="s">
        <v>1679</v>
      </c>
      <c r="G355" s="9" t="s">
        <v>1680</v>
      </c>
      <c r="H355" s="9" t="s">
        <v>1681</v>
      </c>
      <c r="I355" s="9" t="s">
        <v>1681</v>
      </c>
      <c r="J355" s="9" t="s">
        <v>1682</v>
      </c>
      <c r="K355" s="9" t="s">
        <v>773</v>
      </c>
      <c r="L355" s="9" t="s">
        <v>1683</v>
      </c>
      <c r="M355" s="9">
        <v>48</v>
      </c>
      <c r="N355" s="9">
        <v>8</v>
      </c>
      <c r="O355" s="9" t="s">
        <v>57</v>
      </c>
      <c r="P355" s="9" t="s">
        <v>58</v>
      </c>
      <c r="Q355" s="9">
        <v>148</v>
      </c>
      <c r="R355" s="9">
        <v>19</v>
      </c>
      <c r="S355" s="9">
        <v>129</v>
      </c>
      <c r="T355" s="9">
        <v>72</v>
      </c>
      <c r="U355" s="9">
        <v>0</v>
      </c>
      <c r="V355" s="9" t="s">
        <v>114</v>
      </c>
      <c r="W355" s="9">
        <v>0</v>
      </c>
      <c r="X355" s="9">
        <v>0</v>
      </c>
      <c r="Y355" s="9">
        <v>0</v>
      </c>
      <c r="Z355" s="9">
        <v>0</v>
      </c>
      <c r="AA355" s="9">
        <v>7</v>
      </c>
      <c r="AB355" s="9">
        <v>7</v>
      </c>
      <c r="AC355" s="9">
        <v>14</v>
      </c>
      <c r="AD355" s="9" t="s">
        <v>0</v>
      </c>
      <c r="AE355" s="9" t="s">
        <v>60</v>
      </c>
    </row>
    <row r="356" spans="1:31" ht="204" x14ac:dyDescent="0.2">
      <c r="A356" s="8" t="str">
        <f>HYPERLINK("http://www.patentics.cn/invokexml.do?sx=showpatent_cn&amp;sf=ShowPatent&amp;spn=US9449753&amp;sx=showpatent_cn&amp;sv=5481cd3b2d674370cb9b08e6da8957d3","US9449753")</f>
        <v>US9449753</v>
      </c>
      <c r="B356" s="9" t="s">
        <v>1684</v>
      </c>
      <c r="C356" s="9" t="s">
        <v>1685</v>
      </c>
      <c r="D356" s="9" t="s">
        <v>117</v>
      </c>
      <c r="E356" s="9" t="s">
        <v>49</v>
      </c>
      <c r="F356" s="9" t="s">
        <v>1686</v>
      </c>
      <c r="G356" s="9" t="s">
        <v>1687</v>
      </c>
      <c r="H356" s="9" t="s">
        <v>1688</v>
      </c>
      <c r="I356" s="9" t="s">
        <v>1689</v>
      </c>
      <c r="J356" s="9" t="s">
        <v>513</v>
      </c>
      <c r="K356" s="9" t="s">
        <v>540</v>
      </c>
      <c r="L356" s="9" t="s">
        <v>1690</v>
      </c>
      <c r="M356" s="9">
        <v>25</v>
      </c>
      <c r="N356" s="9">
        <v>12</v>
      </c>
      <c r="O356" s="9" t="s">
        <v>57</v>
      </c>
      <c r="P356" s="9" t="s">
        <v>58</v>
      </c>
      <c r="Q356" s="9">
        <v>151</v>
      </c>
      <c r="R356" s="9">
        <v>21</v>
      </c>
      <c r="S356" s="9">
        <v>130</v>
      </c>
      <c r="T356" s="9">
        <v>72</v>
      </c>
      <c r="U356" s="9">
        <v>0</v>
      </c>
      <c r="V356" s="9" t="s">
        <v>114</v>
      </c>
      <c r="W356" s="9">
        <v>0</v>
      </c>
      <c r="X356" s="9">
        <v>0</v>
      </c>
      <c r="Y356" s="9">
        <v>0</v>
      </c>
      <c r="Z356" s="9">
        <v>0</v>
      </c>
      <c r="AA356" s="9">
        <v>6</v>
      </c>
      <c r="AB356" s="9">
        <v>5</v>
      </c>
      <c r="AC356" s="9">
        <v>14</v>
      </c>
      <c r="AD356" s="9" t="s">
        <v>0</v>
      </c>
      <c r="AE356" s="9" t="s">
        <v>60</v>
      </c>
    </row>
    <row r="357" spans="1:31" ht="114.75" x14ac:dyDescent="0.2">
      <c r="A357" s="8" t="str">
        <f>HYPERLINK("http://www.patentics.cn/invokexml.do?sx=showpatent_cn&amp;sf=ShowPatent&amp;spn=US9634645&amp;sx=showpatent_cn&amp;sv=14e7d14e9c8b710f22cc999a80d04ee5","US9634645")</f>
        <v>US9634645</v>
      </c>
      <c r="B357" s="9" t="s">
        <v>1691</v>
      </c>
      <c r="C357" s="9" t="s">
        <v>1692</v>
      </c>
      <c r="D357" s="9" t="s">
        <v>48</v>
      </c>
      <c r="E357" s="9" t="s">
        <v>49</v>
      </c>
      <c r="F357" s="9" t="s">
        <v>1693</v>
      </c>
      <c r="G357" s="9" t="s">
        <v>1694</v>
      </c>
      <c r="H357" s="9" t="s">
        <v>270</v>
      </c>
      <c r="I357" s="9" t="s">
        <v>270</v>
      </c>
      <c r="J357" s="9" t="s">
        <v>1695</v>
      </c>
      <c r="K357" s="9" t="s">
        <v>1696</v>
      </c>
      <c r="L357" s="9" t="s">
        <v>1697</v>
      </c>
      <c r="M357" s="9">
        <v>34</v>
      </c>
      <c r="N357" s="9">
        <v>16</v>
      </c>
      <c r="O357" s="9" t="s">
        <v>57</v>
      </c>
      <c r="P357" s="9" t="s">
        <v>58</v>
      </c>
      <c r="Q357" s="9">
        <v>170</v>
      </c>
      <c r="R357" s="9">
        <v>24</v>
      </c>
      <c r="S357" s="9">
        <v>146</v>
      </c>
      <c r="T357" s="9">
        <v>77</v>
      </c>
      <c r="U357" s="9">
        <v>0</v>
      </c>
      <c r="V357" s="9" t="s">
        <v>114</v>
      </c>
      <c r="W357" s="9">
        <v>0</v>
      </c>
      <c r="X357" s="9">
        <v>0</v>
      </c>
      <c r="Y357" s="9">
        <v>0</v>
      </c>
      <c r="Z357" s="9">
        <v>0</v>
      </c>
      <c r="AA357" s="9">
        <v>7</v>
      </c>
      <c r="AB357" s="9">
        <v>6</v>
      </c>
      <c r="AC357" s="9">
        <v>14</v>
      </c>
      <c r="AD357" s="9" t="s">
        <v>0</v>
      </c>
      <c r="AE357" s="9" t="s">
        <v>60</v>
      </c>
    </row>
    <row r="358" spans="1:31" ht="127.5" x14ac:dyDescent="0.2">
      <c r="A358" s="8" t="str">
        <f>HYPERLINK("http://www.patentics.cn/invokexml.do?sx=showpatent_cn&amp;sf=ShowPatent&amp;spn=WO2015073209&amp;sx=showpatent_cn&amp;sv=bfa85abd03a2e658fc208c30f49ceada","WO2015073209")</f>
        <v>WO2015073209</v>
      </c>
      <c r="B358" s="9" t="s">
        <v>1698</v>
      </c>
      <c r="C358" s="9" t="s">
        <v>1699</v>
      </c>
      <c r="D358" s="9" t="s">
        <v>117</v>
      </c>
      <c r="E358" s="9" t="s">
        <v>49</v>
      </c>
      <c r="F358" s="9" t="s">
        <v>1700</v>
      </c>
      <c r="G358" s="9" t="s">
        <v>1701</v>
      </c>
      <c r="H358" s="9" t="s">
        <v>95</v>
      </c>
      <c r="I358" s="9" t="s">
        <v>1702</v>
      </c>
      <c r="J358" s="9" t="s">
        <v>1703</v>
      </c>
      <c r="K358" s="9" t="s">
        <v>540</v>
      </c>
      <c r="L358" s="9" t="s">
        <v>1675</v>
      </c>
      <c r="M358" s="9">
        <v>30</v>
      </c>
      <c r="N358" s="9">
        <v>5</v>
      </c>
      <c r="O358" s="9" t="s">
        <v>850</v>
      </c>
      <c r="P358" s="9" t="s">
        <v>58</v>
      </c>
      <c r="Q358" s="9">
        <v>7</v>
      </c>
      <c r="R358" s="9">
        <v>1</v>
      </c>
      <c r="S358" s="9">
        <v>6</v>
      </c>
      <c r="T358" s="9">
        <v>5</v>
      </c>
      <c r="U358" s="9">
        <v>0</v>
      </c>
      <c r="V358" s="9" t="s">
        <v>114</v>
      </c>
      <c r="W358" s="9">
        <v>0</v>
      </c>
      <c r="X358" s="9">
        <v>0</v>
      </c>
      <c r="Y358" s="9">
        <v>0</v>
      </c>
      <c r="Z358" s="9">
        <v>0</v>
      </c>
      <c r="AA358" s="9">
        <v>1</v>
      </c>
      <c r="AB358" s="9">
        <v>2</v>
      </c>
      <c r="AC358" s="9">
        <v>14</v>
      </c>
      <c r="AD358" s="9" t="s">
        <v>0</v>
      </c>
      <c r="AE358" s="9" t="s">
        <v>0</v>
      </c>
    </row>
    <row r="359" spans="1:31" ht="51" x14ac:dyDescent="0.2">
      <c r="A359" s="6" t="str">
        <f>HYPERLINK("http://www.patentics.cn/invokexml.do?sx=showpatent_cn&amp;sf=ShowPatent&amp;spn=CN101697641&amp;sx=showpatent_cn&amp;sv=0b38339cf96172154b19cd854c4de0f6","CN101697641")</f>
        <v>CN101697641</v>
      </c>
      <c r="B359" s="7" t="s">
        <v>1704</v>
      </c>
      <c r="C359" s="7" t="s">
        <v>1705</v>
      </c>
      <c r="D359" s="7" t="s">
        <v>932</v>
      </c>
      <c r="E359" s="7" t="s">
        <v>932</v>
      </c>
      <c r="F359" s="7" t="s">
        <v>1706</v>
      </c>
      <c r="G359" s="7" t="s">
        <v>1707</v>
      </c>
      <c r="H359" s="7" t="s">
        <v>1708</v>
      </c>
      <c r="I359" s="7" t="s">
        <v>1708</v>
      </c>
      <c r="J359" s="7" t="s">
        <v>1709</v>
      </c>
      <c r="K359" s="7" t="s">
        <v>55</v>
      </c>
      <c r="L359" s="7" t="s">
        <v>1710</v>
      </c>
      <c r="M359" s="7">
        <v>4</v>
      </c>
      <c r="N359" s="7">
        <v>19</v>
      </c>
      <c r="O359" s="7" t="s">
        <v>42</v>
      </c>
      <c r="P359" s="7" t="s">
        <v>43</v>
      </c>
      <c r="Q359" s="7">
        <v>0</v>
      </c>
      <c r="R359" s="7">
        <v>0</v>
      </c>
      <c r="S359" s="7">
        <v>0</v>
      </c>
      <c r="T359" s="7">
        <v>0</v>
      </c>
      <c r="U359" s="7">
        <v>7</v>
      </c>
      <c r="V359" s="7" t="s">
        <v>1711</v>
      </c>
      <c r="W359" s="7">
        <v>0</v>
      </c>
      <c r="X359" s="7">
        <v>7</v>
      </c>
      <c r="Y359" s="7">
        <v>3</v>
      </c>
      <c r="Z359" s="7">
        <v>2</v>
      </c>
      <c r="AA359" s="7">
        <v>1</v>
      </c>
      <c r="AB359" s="7">
        <v>1</v>
      </c>
      <c r="AC359" s="7" t="s">
        <v>0</v>
      </c>
      <c r="AD359" s="7">
        <v>4</v>
      </c>
      <c r="AE359" s="7" t="s">
        <v>532</v>
      </c>
    </row>
    <row r="360" spans="1:31" ht="51" x14ac:dyDescent="0.2">
      <c r="A360" s="8" t="str">
        <f>HYPERLINK("http://www.patentics.cn/invokexml.do?sx=showpatent_cn&amp;sf=ShowPatent&amp;spn=US9081080&amp;sx=showpatent_cn&amp;sv=ce50263c7398eb2012bd5c48a8cc10c7","US9081080")</f>
        <v>US9081080</v>
      </c>
      <c r="B360" s="9" t="s">
        <v>1712</v>
      </c>
      <c r="C360" s="9" t="s">
        <v>1713</v>
      </c>
      <c r="D360" s="9" t="s">
        <v>48</v>
      </c>
      <c r="E360" s="9" t="s">
        <v>49</v>
      </c>
      <c r="F360" s="9" t="s">
        <v>1714</v>
      </c>
      <c r="G360" s="9" t="s">
        <v>952</v>
      </c>
      <c r="H360" s="9" t="s">
        <v>1715</v>
      </c>
      <c r="I360" s="9" t="s">
        <v>1716</v>
      </c>
      <c r="J360" s="9" t="s">
        <v>1072</v>
      </c>
      <c r="K360" s="9" t="s">
        <v>55</v>
      </c>
      <c r="L360" s="9" t="s">
        <v>947</v>
      </c>
      <c r="M360" s="9">
        <v>65</v>
      </c>
      <c r="N360" s="9">
        <v>11</v>
      </c>
      <c r="O360" s="9" t="s">
        <v>57</v>
      </c>
      <c r="P360" s="9" t="s">
        <v>58</v>
      </c>
      <c r="Q360" s="9">
        <v>18</v>
      </c>
      <c r="R360" s="9">
        <v>0</v>
      </c>
      <c r="S360" s="9">
        <v>18</v>
      </c>
      <c r="T360" s="9">
        <v>15</v>
      </c>
      <c r="U360" s="9">
        <v>1</v>
      </c>
      <c r="V360" s="9" t="s">
        <v>466</v>
      </c>
      <c r="W360" s="9">
        <v>0</v>
      </c>
      <c r="X360" s="9">
        <v>1</v>
      </c>
      <c r="Y360" s="9">
        <v>1</v>
      </c>
      <c r="Z360" s="9">
        <v>1</v>
      </c>
      <c r="AA360" s="9">
        <v>17</v>
      </c>
      <c r="AB360" s="9">
        <v>8</v>
      </c>
      <c r="AC360" s="9">
        <v>14</v>
      </c>
      <c r="AD360" s="9" t="s">
        <v>0</v>
      </c>
      <c r="AE360" s="9" t="s">
        <v>60</v>
      </c>
    </row>
    <row r="361" spans="1:31" ht="51" x14ac:dyDescent="0.2">
      <c r="A361" s="8" t="str">
        <f>HYPERLINK("http://www.patentics.cn/invokexml.do?sx=showpatent_cn&amp;sf=ShowPatent&amp;spn=US9560622&amp;sx=showpatent_cn&amp;sv=018c22593118e9d2e33ed4c69bf56d18","US9560622")</f>
        <v>US9560622</v>
      </c>
      <c r="B361" s="9" t="s">
        <v>1717</v>
      </c>
      <c r="C361" s="9" t="s">
        <v>1718</v>
      </c>
      <c r="D361" s="9" t="s">
        <v>48</v>
      </c>
      <c r="E361" s="9" t="s">
        <v>49</v>
      </c>
      <c r="F361" s="9" t="s">
        <v>1714</v>
      </c>
      <c r="G361" s="9" t="s">
        <v>952</v>
      </c>
      <c r="H361" s="9" t="s">
        <v>1715</v>
      </c>
      <c r="I361" s="9" t="s">
        <v>1719</v>
      </c>
      <c r="J361" s="9" t="s">
        <v>1720</v>
      </c>
      <c r="K361" s="9" t="s">
        <v>55</v>
      </c>
      <c r="L361" s="9" t="s">
        <v>1175</v>
      </c>
      <c r="M361" s="9">
        <v>20</v>
      </c>
      <c r="N361" s="9">
        <v>12</v>
      </c>
      <c r="O361" s="9" t="s">
        <v>57</v>
      </c>
      <c r="P361" s="9" t="s">
        <v>58</v>
      </c>
      <c r="Q361" s="9">
        <v>20</v>
      </c>
      <c r="R361" s="9">
        <v>2</v>
      </c>
      <c r="S361" s="9">
        <v>18</v>
      </c>
      <c r="T361" s="9">
        <v>16</v>
      </c>
      <c r="U361" s="9">
        <v>0</v>
      </c>
      <c r="V361" s="9" t="s">
        <v>114</v>
      </c>
      <c r="W361" s="9">
        <v>0</v>
      </c>
      <c r="X361" s="9">
        <v>0</v>
      </c>
      <c r="Y361" s="9">
        <v>0</v>
      </c>
      <c r="Z361" s="9">
        <v>0</v>
      </c>
      <c r="AA361" s="9">
        <v>17</v>
      </c>
      <c r="AB361" s="9">
        <v>8</v>
      </c>
      <c r="AC361" s="9">
        <v>14</v>
      </c>
      <c r="AD361" s="9" t="s">
        <v>0</v>
      </c>
      <c r="AE361" s="9" t="s">
        <v>60</v>
      </c>
    </row>
    <row r="362" spans="1:31" ht="25.5" x14ac:dyDescent="0.2">
      <c r="A362" s="8" t="str">
        <f>HYPERLINK("http://www.patentics.cn/invokexml.do?sx=showpatent_cn&amp;sf=ShowPatent&amp;spn=CN103502835B&amp;sx=showpatent_cn&amp;sv=daac5adf4855bdd15ce5cdc9e4c1e824","CN103502835B")</f>
        <v>CN103502835B</v>
      </c>
      <c r="B362" s="9" t="s">
        <v>1721</v>
      </c>
      <c r="C362" s="9" t="s">
        <v>1722</v>
      </c>
      <c r="D362" s="9" t="s">
        <v>301</v>
      </c>
      <c r="E362" s="9" t="s">
        <v>301</v>
      </c>
      <c r="F362" s="9" t="s">
        <v>1723</v>
      </c>
      <c r="G362" s="9" t="s">
        <v>1724</v>
      </c>
      <c r="H362" s="9" t="s">
        <v>1715</v>
      </c>
      <c r="I362" s="9" t="s">
        <v>1673</v>
      </c>
      <c r="J362" s="9" t="s">
        <v>1725</v>
      </c>
      <c r="K362" s="9" t="s">
        <v>1142</v>
      </c>
      <c r="L362" s="9" t="s">
        <v>1143</v>
      </c>
      <c r="M362" s="9">
        <v>58</v>
      </c>
      <c r="N362" s="9">
        <v>14</v>
      </c>
      <c r="O362" s="9" t="s">
        <v>57</v>
      </c>
      <c r="P362" s="9" t="s">
        <v>58</v>
      </c>
      <c r="Q362" s="9">
        <v>1</v>
      </c>
      <c r="R362" s="9">
        <v>0</v>
      </c>
      <c r="S362" s="9">
        <v>1</v>
      </c>
      <c r="T362" s="9">
        <v>1</v>
      </c>
      <c r="U362" s="9">
        <v>0</v>
      </c>
      <c r="V362" s="9" t="s">
        <v>114</v>
      </c>
      <c r="W362" s="9">
        <v>0</v>
      </c>
      <c r="X362" s="9">
        <v>0</v>
      </c>
      <c r="Y362" s="9">
        <v>0</v>
      </c>
      <c r="Z362" s="9">
        <v>0</v>
      </c>
      <c r="AA362" s="9">
        <v>17</v>
      </c>
      <c r="AB362" s="9">
        <v>8</v>
      </c>
      <c r="AC362" s="9">
        <v>14</v>
      </c>
      <c r="AD362" s="9" t="s">
        <v>0</v>
      </c>
      <c r="AE362" s="9" t="s">
        <v>60</v>
      </c>
    </row>
    <row r="363" spans="1:31" ht="25.5" x14ac:dyDescent="0.2">
      <c r="A363" s="8" t="str">
        <f>HYPERLINK("http://www.patentics.cn/invokexml.do?sx=showpatent_cn&amp;sf=ShowPatent&amp;spn=CN103502835&amp;sx=showpatent_cn&amp;sv=8a5946f19de398797a651a9ef86ddc29","CN103502835")</f>
        <v>CN103502835</v>
      </c>
      <c r="B363" s="9" t="s">
        <v>1721</v>
      </c>
      <c r="C363" s="9" t="s">
        <v>1722</v>
      </c>
      <c r="D363" s="9" t="s">
        <v>301</v>
      </c>
      <c r="E363" s="9" t="s">
        <v>301</v>
      </c>
      <c r="F363" s="9" t="s">
        <v>1723</v>
      </c>
      <c r="G363" s="9" t="s">
        <v>1724</v>
      </c>
      <c r="H363" s="9" t="s">
        <v>1715</v>
      </c>
      <c r="I363" s="9" t="s">
        <v>1673</v>
      </c>
      <c r="J363" s="9" t="s">
        <v>1726</v>
      </c>
      <c r="K363" s="9" t="s">
        <v>1142</v>
      </c>
      <c r="L363" s="9" t="s">
        <v>1143</v>
      </c>
      <c r="M363" s="9">
        <v>65</v>
      </c>
      <c r="N363" s="9">
        <v>11</v>
      </c>
      <c r="O363" s="9" t="s">
        <v>42</v>
      </c>
      <c r="P363" s="9" t="s">
        <v>58</v>
      </c>
      <c r="Q363" s="9">
        <v>4</v>
      </c>
      <c r="R363" s="9">
        <v>0</v>
      </c>
      <c r="S363" s="9">
        <v>4</v>
      </c>
      <c r="T363" s="9">
        <v>4</v>
      </c>
      <c r="U363" s="9">
        <v>1</v>
      </c>
      <c r="V363" s="9" t="s">
        <v>321</v>
      </c>
      <c r="W363" s="9">
        <v>1</v>
      </c>
      <c r="X363" s="9">
        <v>0</v>
      </c>
      <c r="Y363" s="9">
        <v>1</v>
      </c>
      <c r="Z363" s="9">
        <v>1</v>
      </c>
      <c r="AA363" s="9">
        <v>17</v>
      </c>
      <c r="AB363" s="9">
        <v>8</v>
      </c>
      <c r="AC363" s="9">
        <v>14</v>
      </c>
      <c r="AD363" s="9" t="s">
        <v>0</v>
      </c>
      <c r="AE363" s="9" t="s">
        <v>60</v>
      </c>
    </row>
    <row r="364" spans="1:31" ht="38.25" x14ac:dyDescent="0.2">
      <c r="A364" s="6" t="str">
        <f>HYPERLINK("http://www.patentics.cn/invokexml.do?sx=showpatent_cn&amp;sf=ShowPatent&amp;spn=CN101605261&amp;sx=showpatent_cn&amp;sv=1bd391bba10fb0cec23926b90d5af601","CN101605261")</f>
        <v>CN101605261</v>
      </c>
      <c r="B364" s="7" t="s">
        <v>1727</v>
      </c>
      <c r="C364" s="7" t="s">
        <v>1728</v>
      </c>
      <c r="D364" s="7" t="s">
        <v>1383</v>
      </c>
      <c r="E364" s="7" t="s">
        <v>1383</v>
      </c>
      <c r="F364" s="7" t="s">
        <v>1729</v>
      </c>
      <c r="G364" s="7" t="s">
        <v>1730</v>
      </c>
      <c r="H364" s="7" t="s">
        <v>0</v>
      </c>
      <c r="I364" s="7" t="s">
        <v>1260</v>
      </c>
      <c r="J364" s="7" t="s">
        <v>1065</v>
      </c>
      <c r="K364" s="7" t="s">
        <v>714</v>
      </c>
      <c r="L364" s="7" t="s">
        <v>1346</v>
      </c>
      <c r="M364" s="7">
        <v>10</v>
      </c>
      <c r="N364" s="7">
        <v>16</v>
      </c>
      <c r="O364" s="7" t="s">
        <v>42</v>
      </c>
      <c r="P364" s="7" t="s">
        <v>43</v>
      </c>
      <c r="Q364" s="7">
        <v>0</v>
      </c>
      <c r="R364" s="7">
        <v>0</v>
      </c>
      <c r="S364" s="7">
        <v>0</v>
      </c>
      <c r="T364" s="7">
        <v>0</v>
      </c>
      <c r="U364" s="7">
        <v>8</v>
      </c>
      <c r="V364" s="7" t="s">
        <v>1731</v>
      </c>
      <c r="W364" s="7">
        <v>0</v>
      </c>
      <c r="X364" s="7">
        <v>8</v>
      </c>
      <c r="Y364" s="7">
        <v>2</v>
      </c>
      <c r="Z364" s="7">
        <v>3</v>
      </c>
      <c r="AA364" s="7">
        <v>0</v>
      </c>
      <c r="AB364" s="7">
        <v>0</v>
      </c>
      <c r="AC364" s="7" t="s">
        <v>0</v>
      </c>
      <c r="AD364" s="7">
        <v>4</v>
      </c>
      <c r="AE364" s="7" t="s">
        <v>1390</v>
      </c>
    </row>
    <row r="365" spans="1:31" ht="76.5" x14ac:dyDescent="0.2">
      <c r="A365" s="8" t="str">
        <f>HYPERLINK("http://www.patentics.cn/invokexml.do?sx=showpatent_cn&amp;sf=ShowPatent&amp;spn=US9020030&amp;sx=showpatent_cn&amp;sv=ccf608be84f4521b75be17cf824f0a56","US9020030")</f>
        <v>US9020030</v>
      </c>
      <c r="B365" s="9" t="s">
        <v>1732</v>
      </c>
      <c r="C365" s="9" t="s">
        <v>1733</v>
      </c>
      <c r="D365" s="9" t="s">
        <v>48</v>
      </c>
      <c r="E365" s="9" t="s">
        <v>49</v>
      </c>
      <c r="F365" s="9" t="s">
        <v>1734</v>
      </c>
      <c r="G365" s="9" t="s">
        <v>1735</v>
      </c>
      <c r="H365" s="9" t="s">
        <v>1736</v>
      </c>
      <c r="I365" s="9" t="s">
        <v>1737</v>
      </c>
      <c r="J365" s="9" t="s">
        <v>1738</v>
      </c>
      <c r="K365" s="9" t="s">
        <v>89</v>
      </c>
      <c r="L365" s="9" t="s">
        <v>1739</v>
      </c>
      <c r="M365" s="9">
        <v>48</v>
      </c>
      <c r="N365" s="9">
        <v>16</v>
      </c>
      <c r="O365" s="9" t="s">
        <v>57</v>
      </c>
      <c r="P365" s="9" t="s">
        <v>58</v>
      </c>
      <c r="Q365" s="9">
        <v>44</v>
      </c>
      <c r="R365" s="9">
        <v>3</v>
      </c>
      <c r="S365" s="9">
        <v>41</v>
      </c>
      <c r="T365" s="9">
        <v>17</v>
      </c>
      <c r="U365" s="9">
        <v>2</v>
      </c>
      <c r="V365" s="9" t="s">
        <v>1236</v>
      </c>
      <c r="W365" s="9">
        <v>1</v>
      </c>
      <c r="X365" s="9">
        <v>1</v>
      </c>
      <c r="Y365" s="9">
        <v>2</v>
      </c>
      <c r="Z365" s="9">
        <v>1</v>
      </c>
      <c r="AA365" s="9">
        <v>23</v>
      </c>
      <c r="AB365" s="9">
        <v>7</v>
      </c>
      <c r="AC365" s="9">
        <v>14</v>
      </c>
      <c r="AD365" s="9" t="s">
        <v>0</v>
      </c>
      <c r="AE365" s="9" t="s">
        <v>60</v>
      </c>
    </row>
    <row r="366" spans="1:31" ht="76.5" x14ac:dyDescent="0.2">
      <c r="A366" s="8" t="str">
        <f>HYPERLINK("http://www.patentics.cn/invokexml.do?sx=showpatent_cn&amp;sf=ShowPatent&amp;spn=US9654776&amp;sx=showpatent_cn&amp;sv=8362e7a6884f740a8e5da4fa9fe0fbc5","US9654776")</f>
        <v>US9654776</v>
      </c>
      <c r="B366" s="9" t="s">
        <v>1740</v>
      </c>
      <c r="C366" s="9" t="s">
        <v>1741</v>
      </c>
      <c r="D366" s="9" t="s">
        <v>48</v>
      </c>
      <c r="E366" s="9" t="s">
        <v>49</v>
      </c>
      <c r="F366" s="9" t="s">
        <v>1734</v>
      </c>
      <c r="G366" s="9" t="s">
        <v>1735</v>
      </c>
      <c r="H366" s="9" t="s">
        <v>1736</v>
      </c>
      <c r="I366" s="9" t="s">
        <v>1737</v>
      </c>
      <c r="J366" s="9" t="s">
        <v>1742</v>
      </c>
      <c r="K366" s="9" t="s">
        <v>714</v>
      </c>
      <c r="L366" s="9" t="s">
        <v>1743</v>
      </c>
      <c r="M366" s="9">
        <v>37</v>
      </c>
      <c r="N366" s="9">
        <v>19</v>
      </c>
      <c r="O366" s="9" t="s">
        <v>57</v>
      </c>
      <c r="P366" s="9" t="s">
        <v>58</v>
      </c>
      <c r="Q366" s="9">
        <v>52</v>
      </c>
      <c r="R366" s="9">
        <v>6</v>
      </c>
      <c r="S366" s="9">
        <v>46</v>
      </c>
      <c r="T366" s="9">
        <v>18</v>
      </c>
      <c r="U366" s="9">
        <v>0</v>
      </c>
      <c r="V366" s="9" t="s">
        <v>114</v>
      </c>
      <c r="W366" s="9">
        <v>0</v>
      </c>
      <c r="X366" s="9">
        <v>0</v>
      </c>
      <c r="Y366" s="9">
        <v>0</v>
      </c>
      <c r="Z366" s="9">
        <v>0</v>
      </c>
      <c r="AA366" s="9">
        <v>23</v>
      </c>
      <c r="AB366" s="9">
        <v>7</v>
      </c>
      <c r="AC366" s="9">
        <v>14</v>
      </c>
      <c r="AD366" s="9" t="s">
        <v>0</v>
      </c>
      <c r="AE366" s="9" t="s">
        <v>60</v>
      </c>
    </row>
    <row r="367" spans="1:31" ht="51" x14ac:dyDescent="0.2">
      <c r="A367" s="8" t="str">
        <f>HYPERLINK("http://www.patentics.cn/invokexml.do?sx=showpatent_cn&amp;sf=ShowPatent&amp;spn=CN102845062B&amp;sx=showpatent_cn&amp;sv=faf1a1bc9c0f0817c32a3f976c560452","CN102845062B")</f>
        <v>CN102845062B</v>
      </c>
      <c r="B367" s="9" t="s">
        <v>1744</v>
      </c>
      <c r="C367" s="9" t="s">
        <v>1745</v>
      </c>
      <c r="D367" s="9" t="s">
        <v>301</v>
      </c>
      <c r="E367" s="9" t="s">
        <v>301</v>
      </c>
      <c r="F367" s="9" t="s">
        <v>1746</v>
      </c>
      <c r="G367" s="9" t="s">
        <v>1747</v>
      </c>
      <c r="H367" s="9" t="s">
        <v>1748</v>
      </c>
      <c r="I367" s="9" t="s">
        <v>1749</v>
      </c>
      <c r="J367" s="9" t="s">
        <v>1044</v>
      </c>
      <c r="K367" s="9" t="s">
        <v>714</v>
      </c>
      <c r="L367" s="9" t="s">
        <v>1750</v>
      </c>
      <c r="M367" s="9">
        <v>18</v>
      </c>
      <c r="N367" s="9">
        <v>17</v>
      </c>
      <c r="O367" s="9" t="s">
        <v>57</v>
      </c>
      <c r="P367" s="9" t="s">
        <v>58</v>
      </c>
      <c r="Q367" s="9">
        <v>3</v>
      </c>
      <c r="R367" s="9">
        <v>0</v>
      </c>
      <c r="S367" s="9">
        <v>3</v>
      </c>
      <c r="T367" s="9">
        <v>3</v>
      </c>
      <c r="U367" s="9">
        <v>0</v>
      </c>
      <c r="V367" s="9" t="s">
        <v>114</v>
      </c>
      <c r="W367" s="9">
        <v>0</v>
      </c>
      <c r="X367" s="9">
        <v>0</v>
      </c>
      <c r="Y367" s="9">
        <v>0</v>
      </c>
      <c r="Z367" s="9">
        <v>0</v>
      </c>
      <c r="AA367" s="9">
        <v>8</v>
      </c>
      <c r="AB367" s="9">
        <v>6</v>
      </c>
      <c r="AC367" s="9">
        <v>14</v>
      </c>
      <c r="AD367" s="9" t="s">
        <v>0</v>
      </c>
      <c r="AE367" s="9" t="s">
        <v>60</v>
      </c>
    </row>
    <row r="368" spans="1:31" ht="51" x14ac:dyDescent="0.2">
      <c r="A368" s="8" t="str">
        <f>HYPERLINK("http://www.patentics.cn/invokexml.do?sx=showpatent_cn&amp;sf=ShowPatent&amp;spn=CN102845062&amp;sx=showpatent_cn&amp;sv=4153c1873958a2cde0a5ea02013048de","CN102845062")</f>
        <v>CN102845062</v>
      </c>
      <c r="B368" s="9" t="s">
        <v>1744</v>
      </c>
      <c r="C368" s="9" t="s">
        <v>1745</v>
      </c>
      <c r="D368" s="9" t="s">
        <v>301</v>
      </c>
      <c r="E368" s="9" t="s">
        <v>301</v>
      </c>
      <c r="F368" s="9" t="s">
        <v>1746</v>
      </c>
      <c r="G368" s="9" t="s">
        <v>1747</v>
      </c>
      <c r="H368" s="9" t="s">
        <v>1748</v>
      </c>
      <c r="I368" s="9" t="s">
        <v>1749</v>
      </c>
      <c r="J368" s="9" t="s">
        <v>1751</v>
      </c>
      <c r="K368" s="9" t="s">
        <v>714</v>
      </c>
      <c r="L368" s="9" t="s">
        <v>1346</v>
      </c>
      <c r="M368" s="9">
        <v>44</v>
      </c>
      <c r="N368" s="9">
        <v>13</v>
      </c>
      <c r="O368" s="9" t="s">
        <v>42</v>
      </c>
      <c r="P368" s="9" t="s">
        <v>58</v>
      </c>
      <c r="Q368" s="9">
        <v>3</v>
      </c>
      <c r="R368" s="9">
        <v>0</v>
      </c>
      <c r="S368" s="9">
        <v>3</v>
      </c>
      <c r="T368" s="9">
        <v>3</v>
      </c>
      <c r="U368" s="9">
        <v>1</v>
      </c>
      <c r="V368" s="9" t="s">
        <v>1752</v>
      </c>
      <c r="W368" s="9">
        <v>0</v>
      </c>
      <c r="X368" s="9">
        <v>1</v>
      </c>
      <c r="Y368" s="9">
        <v>1</v>
      </c>
      <c r="Z368" s="9">
        <v>1</v>
      </c>
      <c r="AA368" s="9">
        <v>8</v>
      </c>
      <c r="AB368" s="9">
        <v>6</v>
      </c>
      <c r="AC368" s="9">
        <v>14</v>
      </c>
      <c r="AD368" s="9" t="s">
        <v>0</v>
      </c>
      <c r="AE368" s="9" t="s">
        <v>60</v>
      </c>
    </row>
    <row r="369" spans="1:31" ht="51" x14ac:dyDescent="0.2">
      <c r="A369" s="6" t="str">
        <f>HYPERLINK("http://www.patentics.cn/invokexml.do?sx=showpatent_cn&amp;sf=ShowPatent&amp;spn=CN101477636&amp;sx=showpatent_cn&amp;sv=d9c81747832795addecdadfcecabf7be","CN101477636")</f>
        <v>CN101477636</v>
      </c>
      <c r="B369" s="7" t="s">
        <v>1753</v>
      </c>
      <c r="C369" s="7" t="s">
        <v>1754</v>
      </c>
      <c r="D369" s="7" t="s">
        <v>35</v>
      </c>
      <c r="E369" s="7" t="s">
        <v>35</v>
      </c>
      <c r="F369" s="7" t="s">
        <v>1755</v>
      </c>
      <c r="G369" s="7" t="s">
        <v>1756</v>
      </c>
      <c r="H369" s="7" t="s">
        <v>1757</v>
      </c>
      <c r="I369" s="7" t="s">
        <v>1757</v>
      </c>
      <c r="J369" s="7" t="s">
        <v>1758</v>
      </c>
      <c r="K369" s="7" t="s">
        <v>529</v>
      </c>
      <c r="L369" s="7" t="s">
        <v>1759</v>
      </c>
      <c r="M369" s="7">
        <v>10</v>
      </c>
      <c r="N369" s="7">
        <v>18</v>
      </c>
      <c r="O369" s="7" t="s">
        <v>42</v>
      </c>
      <c r="P369" s="7" t="s">
        <v>43</v>
      </c>
      <c r="Q369" s="7">
        <v>0</v>
      </c>
      <c r="R369" s="7">
        <v>0</v>
      </c>
      <c r="S369" s="7">
        <v>0</v>
      </c>
      <c r="T369" s="7">
        <v>0</v>
      </c>
      <c r="U369" s="7">
        <v>5</v>
      </c>
      <c r="V369" s="7" t="s">
        <v>1760</v>
      </c>
      <c r="W369" s="7">
        <v>0</v>
      </c>
      <c r="X369" s="7">
        <v>5</v>
      </c>
      <c r="Y369" s="7">
        <v>2</v>
      </c>
      <c r="Z369" s="7">
        <v>2</v>
      </c>
      <c r="AA369" s="7">
        <v>1</v>
      </c>
      <c r="AB369" s="7">
        <v>1</v>
      </c>
      <c r="AC369" s="7" t="s">
        <v>0</v>
      </c>
      <c r="AD369" s="7">
        <v>4</v>
      </c>
      <c r="AE369" s="7" t="s">
        <v>532</v>
      </c>
    </row>
    <row r="370" spans="1:31" ht="76.5" x14ac:dyDescent="0.2">
      <c r="A370" s="8" t="str">
        <f>HYPERLINK("http://www.patentics.cn/invokexml.do?sx=showpatent_cn&amp;sf=ShowPatent&amp;spn=US9000887&amp;sx=showpatent_cn&amp;sv=bbdbf12b017f294e5b3f2752c82d37ba","US9000887")</f>
        <v>US9000887</v>
      </c>
      <c r="B370" s="9" t="s">
        <v>1761</v>
      </c>
      <c r="C370" s="9" t="s">
        <v>1762</v>
      </c>
      <c r="D370" s="9" t="s">
        <v>48</v>
      </c>
      <c r="E370" s="9" t="s">
        <v>49</v>
      </c>
      <c r="F370" s="9" t="s">
        <v>1763</v>
      </c>
      <c r="G370" s="9" t="s">
        <v>1764</v>
      </c>
      <c r="H370" s="9" t="s">
        <v>1765</v>
      </c>
      <c r="I370" s="9" t="s">
        <v>1620</v>
      </c>
      <c r="J370" s="9" t="s">
        <v>1110</v>
      </c>
      <c r="K370" s="9" t="s">
        <v>885</v>
      </c>
      <c r="L370" s="9" t="s">
        <v>1766</v>
      </c>
      <c r="M370" s="9">
        <v>21</v>
      </c>
      <c r="N370" s="9">
        <v>13</v>
      </c>
      <c r="O370" s="9" t="s">
        <v>57</v>
      </c>
      <c r="P370" s="9" t="s">
        <v>58</v>
      </c>
      <c r="Q370" s="9">
        <v>53</v>
      </c>
      <c r="R370" s="9">
        <v>3</v>
      </c>
      <c r="S370" s="9">
        <v>50</v>
      </c>
      <c r="T370" s="9">
        <v>32</v>
      </c>
      <c r="U370" s="9">
        <v>4</v>
      </c>
      <c r="V370" s="9" t="s">
        <v>1767</v>
      </c>
      <c r="W370" s="9">
        <v>0</v>
      </c>
      <c r="X370" s="9">
        <v>4</v>
      </c>
      <c r="Y370" s="9">
        <v>3</v>
      </c>
      <c r="Z370" s="9">
        <v>1</v>
      </c>
      <c r="AA370" s="9">
        <v>30</v>
      </c>
      <c r="AB370" s="9">
        <v>6</v>
      </c>
      <c r="AC370" s="9">
        <v>14</v>
      </c>
      <c r="AD370" s="9" t="s">
        <v>0</v>
      </c>
      <c r="AE370" s="9" t="s">
        <v>60</v>
      </c>
    </row>
    <row r="371" spans="1:31" ht="76.5" x14ac:dyDescent="0.2">
      <c r="A371" s="8" t="str">
        <f>HYPERLINK("http://www.patentics.cn/invokexml.do?sx=showpatent_cn&amp;sf=ShowPatent&amp;spn=US9024865&amp;sx=showpatent_cn&amp;sv=7b43e23d4b11b326e12d99a2134231bc","US9024865")</f>
        <v>US9024865</v>
      </c>
      <c r="B371" s="9" t="s">
        <v>1768</v>
      </c>
      <c r="C371" s="9" t="s">
        <v>1769</v>
      </c>
      <c r="D371" s="9" t="s">
        <v>48</v>
      </c>
      <c r="E371" s="9" t="s">
        <v>49</v>
      </c>
      <c r="F371" s="9" t="s">
        <v>1763</v>
      </c>
      <c r="G371" s="9" t="s">
        <v>1764</v>
      </c>
      <c r="H371" s="9" t="s">
        <v>1765</v>
      </c>
      <c r="I371" s="9" t="s">
        <v>1620</v>
      </c>
      <c r="J371" s="9" t="s">
        <v>1199</v>
      </c>
      <c r="K371" s="9" t="s">
        <v>741</v>
      </c>
      <c r="L371" s="9" t="s">
        <v>1770</v>
      </c>
      <c r="M371" s="9">
        <v>43</v>
      </c>
      <c r="N371" s="9">
        <v>10</v>
      </c>
      <c r="O371" s="9" t="s">
        <v>57</v>
      </c>
      <c r="P371" s="9" t="s">
        <v>58</v>
      </c>
      <c r="Q371" s="9">
        <v>52</v>
      </c>
      <c r="R371" s="9">
        <v>3</v>
      </c>
      <c r="S371" s="9">
        <v>49</v>
      </c>
      <c r="T371" s="9">
        <v>32</v>
      </c>
      <c r="U371" s="9">
        <v>1</v>
      </c>
      <c r="V371" s="9" t="s">
        <v>264</v>
      </c>
      <c r="W371" s="9">
        <v>0</v>
      </c>
      <c r="X371" s="9">
        <v>1</v>
      </c>
      <c r="Y371" s="9">
        <v>1</v>
      </c>
      <c r="Z371" s="9">
        <v>1</v>
      </c>
      <c r="AA371" s="9">
        <v>30</v>
      </c>
      <c r="AB371" s="9">
        <v>6</v>
      </c>
      <c r="AC371" s="9">
        <v>14</v>
      </c>
      <c r="AD371" s="9" t="s">
        <v>0</v>
      </c>
      <c r="AE371" s="9" t="s">
        <v>60</v>
      </c>
    </row>
    <row r="372" spans="1:31" ht="76.5" x14ac:dyDescent="0.2">
      <c r="A372" s="8" t="str">
        <f>HYPERLINK("http://www.patentics.cn/invokexml.do?sx=showpatent_cn&amp;sf=ShowPatent&amp;spn=US9030404&amp;sx=showpatent_cn&amp;sv=bb57cebc989af6d1d665018b74c17558","US9030404")</f>
        <v>US9030404</v>
      </c>
      <c r="B372" s="9" t="s">
        <v>1771</v>
      </c>
      <c r="C372" s="9" t="s">
        <v>1772</v>
      </c>
      <c r="D372" s="9" t="s">
        <v>48</v>
      </c>
      <c r="E372" s="9" t="s">
        <v>49</v>
      </c>
      <c r="F372" s="9" t="s">
        <v>1763</v>
      </c>
      <c r="G372" s="9" t="s">
        <v>1764</v>
      </c>
      <c r="H372" s="9" t="s">
        <v>1765</v>
      </c>
      <c r="I372" s="9" t="s">
        <v>1620</v>
      </c>
      <c r="J372" s="9" t="s">
        <v>1773</v>
      </c>
      <c r="K372" s="9" t="s">
        <v>741</v>
      </c>
      <c r="L372" s="9" t="s">
        <v>1770</v>
      </c>
      <c r="M372" s="9">
        <v>16</v>
      </c>
      <c r="N372" s="9">
        <v>11</v>
      </c>
      <c r="O372" s="9" t="s">
        <v>57</v>
      </c>
      <c r="P372" s="9" t="s">
        <v>58</v>
      </c>
      <c r="Q372" s="9">
        <v>48</v>
      </c>
      <c r="R372" s="9">
        <v>3</v>
      </c>
      <c r="S372" s="9">
        <v>45</v>
      </c>
      <c r="T372" s="9">
        <v>30</v>
      </c>
      <c r="U372" s="9">
        <v>1</v>
      </c>
      <c r="V372" s="9" t="s">
        <v>264</v>
      </c>
      <c r="W372" s="9">
        <v>0</v>
      </c>
      <c r="X372" s="9">
        <v>1</v>
      </c>
      <c r="Y372" s="9">
        <v>1</v>
      </c>
      <c r="Z372" s="9">
        <v>1</v>
      </c>
      <c r="AA372" s="9">
        <v>30</v>
      </c>
      <c r="AB372" s="9">
        <v>6</v>
      </c>
      <c r="AC372" s="9">
        <v>14</v>
      </c>
      <c r="AD372" s="9" t="s">
        <v>0</v>
      </c>
      <c r="AE372" s="9" t="s">
        <v>60</v>
      </c>
    </row>
    <row r="373" spans="1:31" ht="76.5" x14ac:dyDescent="0.2">
      <c r="A373" s="8" t="str">
        <f>HYPERLINK("http://www.patentics.cn/invokexml.do?sx=showpatent_cn&amp;sf=ShowPatent&amp;spn=CN102473025&amp;sx=showpatent_cn&amp;sv=cf9bbbc67292b02c5abb74de09bdf020","CN102473025")</f>
        <v>CN102473025</v>
      </c>
      <c r="B373" s="9" t="s">
        <v>1774</v>
      </c>
      <c r="C373" s="9" t="s">
        <v>1775</v>
      </c>
      <c r="D373" s="9" t="s">
        <v>301</v>
      </c>
      <c r="E373" s="9" t="s">
        <v>301</v>
      </c>
      <c r="F373" s="9" t="s">
        <v>1776</v>
      </c>
      <c r="G373" s="9" t="s">
        <v>1777</v>
      </c>
      <c r="H373" s="9" t="s">
        <v>1765</v>
      </c>
      <c r="I373" s="9" t="s">
        <v>1778</v>
      </c>
      <c r="J373" s="9" t="s">
        <v>429</v>
      </c>
      <c r="K373" s="9" t="s">
        <v>885</v>
      </c>
      <c r="L373" s="9" t="s">
        <v>886</v>
      </c>
      <c r="M373" s="9">
        <v>28</v>
      </c>
      <c r="N373" s="9">
        <v>6</v>
      </c>
      <c r="O373" s="9" t="s">
        <v>42</v>
      </c>
      <c r="P373" s="9" t="s">
        <v>58</v>
      </c>
      <c r="Q373" s="9">
        <v>3</v>
      </c>
      <c r="R373" s="9">
        <v>0</v>
      </c>
      <c r="S373" s="9">
        <v>3</v>
      </c>
      <c r="T373" s="9">
        <v>3</v>
      </c>
      <c r="U373" s="9">
        <v>2</v>
      </c>
      <c r="V373" s="9" t="s">
        <v>1779</v>
      </c>
      <c r="W373" s="9">
        <v>1</v>
      </c>
      <c r="X373" s="9">
        <v>1</v>
      </c>
      <c r="Y373" s="9">
        <v>2</v>
      </c>
      <c r="Z373" s="9">
        <v>2</v>
      </c>
      <c r="AA373" s="9">
        <v>30</v>
      </c>
      <c r="AB373" s="9">
        <v>6</v>
      </c>
      <c r="AC373" s="9">
        <v>14</v>
      </c>
      <c r="AD373" s="9" t="s">
        <v>0</v>
      </c>
      <c r="AE373" s="9" t="s">
        <v>1390</v>
      </c>
    </row>
    <row r="374" spans="1:31" ht="51" x14ac:dyDescent="0.2">
      <c r="A374" s="6" t="str">
        <f>HYPERLINK("http://www.patentics.cn/invokexml.do?sx=showpatent_cn&amp;sf=ShowPatent&amp;spn=CN101414271&amp;sx=showpatent_cn&amp;sv=d8954b4532f6939a6ea0a0a7222c2258","CN101414271")</f>
        <v>CN101414271</v>
      </c>
      <c r="B374" s="7" t="s">
        <v>1780</v>
      </c>
      <c r="C374" s="7" t="s">
        <v>1781</v>
      </c>
      <c r="D374" s="7" t="s">
        <v>923</v>
      </c>
      <c r="E374" s="7" t="s">
        <v>923</v>
      </c>
      <c r="F374" s="7" t="s">
        <v>1782</v>
      </c>
      <c r="G374" s="7" t="s">
        <v>1783</v>
      </c>
      <c r="H374" s="7" t="s">
        <v>0</v>
      </c>
      <c r="I374" s="7" t="s">
        <v>1784</v>
      </c>
      <c r="J374" s="7" t="s">
        <v>1058</v>
      </c>
      <c r="K374" s="7" t="s">
        <v>885</v>
      </c>
      <c r="L374" s="7" t="s">
        <v>1059</v>
      </c>
      <c r="M374" s="7">
        <v>1</v>
      </c>
      <c r="N374" s="7">
        <v>52</v>
      </c>
      <c r="O374" s="7" t="s">
        <v>42</v>
      </c>
      <c r="P374" s="7" t="s">
        <v>43</v>
      </c>
      <c r="Q374" s="7">
        <v>0</v>
      </c>
      <c r="R374" s="7">
        <v>0</v>
      </c>
      <c r="S374" s="7">
        <v>0</v>
      </c>
      <c r="T374" s="7">
        <v>0</v>
      </c>
      <c r="U374" s="7">
        <v>11</v>
      </c>
      <c r="V374" s="7" t="s">
        <v>1785</v>
      </c>
      <c r="W374" s="7">
        <v>1</v>
      </c>
      <c r="X374" s="7">
        <v>10</v>
      </c>
      <c r="Y374" s="7">
        <v>7</v>
      </c>
      <c r="Z374" s="7">
        <v>2</v>
      </c>
      <c r="AA374" s="7">
        <v>0</v>
      </c>
      <c r="AB374" s="7">
        <v>0</v>
      </c>
      <c r="AC374" s="7" t="s">
        <v>0</v>
      </c>
      <c r="AD374" s="7">
        <v>4</v>
      </c>
      <c r="AE374" s="7" t="s">
        <v>45</v>
      </c>
    </row>
    <row r="375" spans="1:31" ht="76.5" x14ac:dyDescent="0.2">
      <c r="A375" s="8" t="str">
        <f>HYPERLINK("http://www.patentics.cn/invokexml.do?sx=showpatent_cn&amp;sf=ShowPatent&amp;spn=US8954980&amp;sx=showpatent_cn&amp;sv=c65bb3308fb5256a56b99af6fd8860fa","US8954980")</f>
        <v>US8954980</v>
      </c>
      <c r="B375" s="9" t="s">
        <v>1786</v>
      </c>
      <c r="C375" s="9" t="s">
        <v>1787</v>
      </c>
      <c r="D375" s="9" t="s">
        <v>48</v>
      </c>
      <c r="E375" s="9" t="s">
        <v>49</v>
      </c>
      <c r="F375" s="9" t="s">
        <v>1788</v>
      </c>
      <c r="G375" s="9" t="s">
        <v>1789</v>
      </c>
      <c r="H375" s="9" t="s">
        <v>1790</v>
      </c>
      <c r="I375" s="9" t="s">
        <v>1791</v>
      </c>
      <c r="J375" s="9" t="s">
        <v>1792</v>
      </c>
      <c r="K375" s="9" t="s">
        <v>885</v>
      </c>
      <c r="L375" s="9" t="s">
        <v>1059</v>
      </c>
      <c r="M375" s="9">
        <v>40</v>
      </c>
      <c r="N375" s="9">
        <v>31</v>
      </c>
      <c r="O375" s="9" t="s">
        <v>57</v>
      </c>
      <c r="P375" s="9" t="s">
        <v>58</v>
      </c>
      <c r="Q375" s="9">
        <v>58</v>
      </c>
      <c r="R375" s="9">
        <v>6</v>
      </c>
      <c r="S375" s="9">
        <v>52</v>
      </c>
      <c r="T375" s="9">
        <v>30</v>
      </c>
      <c r="U375" s="9">
        <v>2</v>
      </c>
      <c r="V375" s="9" t="s">
        <v>515</v>
      </c>
      <c r="W375" s="9">
        <v>0</v>
      </c>
      <c r="X375" s="9">
        <v>2</v>
      </c>
      <c r="Y375" s="9">
        <v>1</v>
      </c>
      <c r="Z375" s="9">
        <v>1</v>
      </c>
      <c r="AA375" s="9">
        <v>9</v>
      </c>
      <c r="AB375" s="9">
        <v>6</v>
      </c>
      <c r="AC375" s="9">
        <v>14</v>
      </c>
      <c r="AD375" s="9" t="s">
        <v>0</v>
      </c>
      <c r="AE375" s="9" t="s">
        <v>60</v>
      </c>
    </row>
    <row r="376" spans="1:31" ht="76.5" x14ac:dyDescent="0.2">
      <c r="A376" s="8" t="str">
        <f>HYPERLINK("http://www.patentics.cn/invokexml.do?sx=showpatent_cn&amp;sf=ShowPatent&amp;spn=US8954983&amp;sx=showpatent_cn&amp;sv=aa5a5f123b1af87063d38ca9a1ca18ce","US8954983")</f>
        <v>US8954983</v>
      </c>
      <c r="B376" s="9" t="s">
        <v>1793</v>
      </c>
      <c r="C376" s="9" t="s">
        <v>1787</v>
      </c>
      <c r="D376" s="9" t="s">
        <v>48</v>
      </c>
      <c r="E376" s="9" t="s">
        <v>49</v>
      </c>
      <c r="F376" s="9" t="s">
        <v>1788</v>
      </c>
      <c r="G376" s="9" t="s">
        <v>1789</v>
      </c>
      <c r="H376" s="9" t="s">
        <v>1790</v>
      </c>
      <c r="I376" s="9" t="s">
        <v>1794</v>
      </c>
      <c r="J376" s="9" t="s">
        <v>1792</v>
      </c>
      <c r="K376" s="9" t="s">
        <v>885</v>
      </c>
      <c r="L376" s="9" t="s">
        <v>1059</v>
      </c>
      <c r="M376" s="9">
        <v>30</v>
      </c>
      <c r="N376" s="9">
        <v>19</v>
      </c>
      <c r="O376" s="9" t="s">
        <v>57</v>
      </c>
      <c r="P376" s="9" t="s">
        <v>58</v>
      </c>
      <c r="Q376" s="9">
        <v>61</v>
      </c>
      <c r="R376" s="9">
        <v>6</v>
      </c>
      <c r="S376" s="9">
        <v>55</v>
      </c>
      <c r="T376" s="9">
        <v>31</v>
      </c>
      <c r="U376" s="9">
        <v>0</v>
      </c>
      <c r="V376" s="9" t="s">
        <v>114</v>
      </c>
      <c r="W376" s="9">
        <v>0</v>
      </c>
      <c r="X376" s="9">
        <v>0</v>
      </c>
      <c r="Y376" s="9">
        <v>0</v>
      </c>
      <c r="Z376" s="9">
        <v>0</v>
      </c>
      <c r="AA376" s="9">
        <v>9</v>
      </c>
      <c r="AB376" s="9">
        <v>6</v>
      </c>
      <c r="AC376" s="9">
        <v>14</v>
      </c>
      <c r="AD376" s="9" t="s">
        <v>0</v>
      </c>
      <c r="AE376" s="9" t="s">
        <v>60</v>
      </c>
    </row>
    <row r="377" spans="1:31" ht="127.5" x14ac:dyDescent="0.2">
      <c r="A377" s="8" t="str">
        <f>HYPERLINK("http://www.patentics.cn/invokexml.do?sx=showpatent_cn&amp;sf=ShowPatent&amp;spn=US9104499&amp;sx=showpatent_cn&amp;sv=8afede01d989375924964b8739148400","US9104499")</f>
        <v>US9104499</v>
      </c>
      <c r="B377" s="9" t="s">
        <v>1795</v>
      </c>
      <c r="C377" s="9" t="s">
        <v>1796</v>
      </c>
      <c r="D377" s="9" t="s">
        <v>48</v>
      </c>
      <c r="E377" s="9" t="s">
        <v>49</v>
      </c>
      <c r="F377" s="9" t="s">
        <v>1797</v>
      </c>
      <c r="G377" s="9" t="s">
        <v>1789</v>
      </c>
      <c r="H377" s="9" t="s">
        <v>1798</v>
      </c>
      <c r="I377" s="9" t="s">
        <v>1799</v>
      </c>
      <c r="J377" s="9" t="s">
        <v>874</v>
      </c>
      <c r="K377" s="9" t="s">
        <v>885</v>
      </c>
      <c r="L377" s="9" t="s">
        <v>1059</v>
      </c>
      <c r="M377" s="9">
        <v>12</v>
      </c>
      <c r="N377" s="9">
        <v>21</v>
      </c>
      <c r="O377" s="9" t="s">
        <v>57</v>
      </c>
      <c r="P377" s="9" t="s">
        <v>58</v>
      </c>
      <c r="Q377" s="9">
        <v>69</v>
      </c>
      <c r="R377" s="9">
        <v>7</v>
      </c>
      <c r="S377" s="9">
        <v>62</v>
      </c>
      <c r="T377" s="9">
        <v>33</v>
      </c>
      <c r="U377" s="9">
        <v>0</v>
      </c>
      <c r="V377" s="9" t="s">
        <v>114</v>
      </c>
      <c r="W377" s="9">
        <v>0</v>
      </c>
      <c r="X377" s="9">
        <v>0</v>
      </c>
      <c r="Y377" s="9">
        <v>0</v>
      </c>
      <c r="Z377" s="9">
        <v>0</v>
      </c>
      <c r="AA377" s="9">
        <v>21</v>
      </c>
      <c r="AB377" s="9">
        <v>6</v>
      </c>
      <c r="AC377" s="9">
        <v>14</v>
      </c>
      <c r="AD377" s="9" t="s">
        <v>0</v>
      </c>
      <c r="AE377" s="9" t="s">
        <v>60</v>
      </c>
    </row>
    <row r="378" spans="1:31" ht="76.5" x14ac:dyDescent="0.2">
      <c r="A378" s="8" t="str">
        <f>HYPERLINK("http://www.patentics.cn/invokexml.do?sx=showpatent_cn&amp;sf=ShowPatent&amp;spn=US9285856&amp;sx=showpatent_cn&amp;sv=af251288fd689d3ea75f8e195b3cf332","US9285856")</f>
        <v>US9285856</v>
      </c>
      <c r="B378" s="9" t="s">
        <v>1800</v>
      </c>
      <c r="C378" s="9" t="s">
        <v>1801</v>
      </c>
      <c r="D378" s="9" t="s">
        <v>48</v>
      </c>
      <c r="E378" s="9" t="s">
        <v>49</v>
      </c>
      <c r="F378" s="9" t="s">
        <v>1802</v>
      </c>
      <c r="G378" s="9" t="s">
        <v>1803</v>
      </c>
      <c r="H378" s="9" t="s">
        <v>1798</v>
      </c>
      <c r="I378" s="9" t="s">
        <v>1804</v>
      </c>
      <c r="J378" s="9" t="s">
        <v>1805</v>
      </c>
      <c r="K378" s="9" t="s">
        <v>885</v>
      </c>
      <c r="L378" s="9" t="s">
        <v>1080</v>
      </c>
      <c r="M378" s="9">
        <v>40</v>
      </c>
      <c r="N378" s="9">
        <v>22</v>
      </c>
      <c r="O378" s="9" t="s">
        <v>57</v>
      </c>
      <c r="P378" s="9" t="s">
        <v>58</v>
      </c>
      <c r="Q378" s="9">
        <v>69</v>
      </c>
      <c r="R378" s="9">
        <v>7</v>
      </c>
      <c r="S378" s="9">
        <v>62</v>
      </c>
      <c r="T378" s="9">
        <v>34</v>
      </c>
      <c r="U378" s="9">
        <v>0</v>
      </c>
      <c r="V378" s="9" t="s">
        <v>114</v>
      </c>
      <c r="W378" s="9">
        <v>0</v>
      </c>
      <c r="X378" s="9">
        <v>0</v>
      </c>
      <c r="Y378" s="9">
        <v>0</v>
      </c>
      <c r="Z378" s="9">
        <v>0</v>
      </c>
      <c r="AA378" s="9">
        <v>21</v>
      </c>
      <c r="AB378" s="9">
        <v>6</v>
      </c>
      <c r="AC378" s="9">
        <v>14</v>
      </c>
      <c r="AD378" s="9" t="s">
        <v>0</v>
      </c>
      <c r="AE378" s="9" t="s">
        <v>60</v>
      </c>
    </row>
    <row r="379" spans="1:31" ht="38.25" x14ac:dyDescent="0.2">
      <c r="A379" s="6" t="str">
        <f>HYPERLINK("http://www.patentics.cn/invokexml.do?sx=showpatent_cn&amp;sf=ShowPatent&amp;spn=CN101399579&amp;sx=showpatent_cn&amp;sv=56a480344b18dc3926ce4f800dfe663d","CN101399579")</f>
        <v>CN101399579</v>
      </c>
      <c r="B379" s="7" t="s">
        <v>1806</v>
      </c>
      <c r="C379" s="7" t="s">
        <v>1807</v>
      </c>
      <c r="D379" s="7" t="s">
        <v>1097</v>
      </c>
      <c r="E379" s="7" t="s">
        <v>1097</v>
      </c>
      <c r="F379" s="7" t="s">
        <v>1808</v>
      </c>
      <c r="G379" s="7" t="s">
        <v>1809</v>
      </c>
      <c r="H379" s="7" t="s">
        <v>0</v>
      </c>
      <c r="I379" s="7" t="s">
        <v>1521</v>
      </c>
      <c r="J379" s="7" t="s">
        <v>1810</v>
      </c>
      <c r="K379" s="7" t="s">
        <v>89</v>
      </c>
      <c r="L379" s="7" t="s">
        <v>1811</v>
      </c>
      <c r="M379" s="7">
        <v>9</v>
      </c>
      <c r="N379" s="7">
        <v>19</v>
      </c>
      <c r="O379" s="7" t="s">
        <v>42</v>
      </c>
      <c r="P379" s="7" t="s">
        <v>43</v>
      </c>
      <c r="Q379" s="7">
        <v>0</v>
      </c>
      <c r="R379" s="7">
        <v>0</v>
      </c>
      <c r="S379" s="7">
        <v>0</v>
      </c>
      <c r="T379" s="7">
        <v>0</v>
      </c>
      <c r="U379" s="7">
        <v>12</v>
      </c>
      <c r="V379" s="7" t="s">
        <v>1812</v>
      </c>
      <c r="W379" s="7">
        <v>1</v>
      </c>
      <c r="X379" s="7">
        <v>11</v>
      </c>
      <c r="Y379" s="7">
        <v>6</v>
      </c>
      <c r="Z379" s="7">
        <v>4</v>
      </c>
      <c r="AA379" s="7">
        <v>0</v>
      </c>
      <c r="AB379" s="7">
        <v>0</v>
      </c>
      <c r="AC379" s="7" t="s">
        <v>0</v>
      </c>
      <c r="AD379" s="7">
        <v>4</v>
      </c>
      <c r="AE379" s="7" t="s">
        <v>45</v>
      </c>
    </row>
    <row r="380" spans="1:31" ht="114.75" x14ac:dyDescent="0.2">
      <c r="A380" s="8" t="str">
        <f>HYPERLINK("http://www.patentics.cn/invokexml.do?sx=showpatent_cn&amp;sf=ShowPatent&amp;spn=US9002397&amp;sx=showpatent_cn&amp;sv=92e642f7113e98aaec13b0060c85366d","US9002397")</f>
        <v>US9002397</v>
      </c>
      <c r="B380" s="9" t="s">
        <v>1813</v>
      </c>
      <c r="C380" s="9" t="s">
        <v>1814</v>
      </c>
      <c r="D380" s="9" t="s">
        <v>48</v>
      </c>
      <c r="E380" s="9" t="s">
        <v>49</v>
      </c>
      <c r="F380" s="9" t="s">
        <v>1815</v>
      </c>
      <c r="G380" s="9" t="s">
        <v>1816</v>
      </c>
      <c r="H380" s="9" t="s">
        <v>639</v>
      </c>
      <c r="I380" s="9" t="s">
        <v>1817</v>
      </c>
      <c r="J380" s="9" t="s">
        <v>1110</v>
      </c>
      <c r="K380" s="9" t="s">
        <v>89</v>
      </c>
      <c r="L380" s="9" t="s">
        <v>136</v>
      </c>
      <c r="M380" s="9">
        <v>56</v>
      </c>
      <c r="N380" s="9">
        <v>10</v>
      </c>
      <c r="O380" s="9" t="s">
        <v>57</v>
      </c>
      <c r="P380" s="9" t="s">
        <v>58</v>
      </c>
      <c r="Q380" s="9">
        <v>23</v>
      </c>
      <c r="R380" s="9">
        <v>2</v>
      </c>
      <c r="S380" s="9">
        <v>21</v>
      </c>
      <c r="T380" s="9">
        <v>13</v>
      </c>
      <c r="U380" s="9">
        <v>1</v>
      </c>
      <c r="V380" s="9" t="s">
        <v>264</v>
      </c>
      <c r="W380" s="9">
        <v>0</v>
      </c>
      <c r="X380" s="9">
        <v>1</v>
      </c>
      <c r="Y380" s="9">
        <v>1</v>
      </c>
      <c r="Z380" s="9">
        <v>1</v>
      </c>
      <c r="AA380" s="9">
        <v>15</v>
      </c>
      <c r="AB380" s="9">
        <v>7</v>
      </c>
      <c r="AC380" s="9">
        <v>14</v>
      </c>
      <c r="AD380" s="9" t="s">
        <v>0</v>
      </c>
      <c r="AE380" s="9" t="s">
        <v>60</v>
      </c>
    </row>
    <row r="381" spans="1:31" ht="114.75" x14ac:dyDescent="0.2">
      <c r="A381" s="8" t="str">
        <f>HYPERLINK("http://www.patentics.cn/invokexml.do?sx=showpatent_cn&amp;sf=ShowPatent&amp;spn=US9179421&amp;sx=showpatent_cn&amp;sv=23272c46a732d1d25b4771dcdc18f581","US9179421")</f>
        <v>US9179421</v>
      </c>
      <c r="B381" s="9" t="s">
        <v>1818</v>
      </c>
      <c r="C381" s="9" t="s">
        <v>1814</v>
      </c>
      <c r="D381" s="9" t="s">
        <v>48</v>
      </c>
      <c r="E381" s="9" t="s">
        <v>49</v>
      </c>
      <c r="F381" s="9" t="s">
        <v>1815</v>
      </c>
      <c r="G381" s="9" t="s">
        <v>1816</v>
      </c>
      <c r="H381" s="9" t="s">
        <v>639</v>
      </c>
      <c r="I381" s="9" t="s">
        <v>1819</v>
      </c>
      <c r="J381" s="9" t="s">
        <v>228</v>
      </c>
      <c r="K381" s="9" t="s">
        <v>89</v>
      </c>
      <c r="L381" s="9" t="s">
        <v>136</v>
      </c>
      <c r="M381" s="9">
        <v>12</v>
      </c>
      <c r="N381" s="9">
        <v>8</v>
      </c>
      <c r="O381" s="9" t="s">
        <v>57</v>
      </c>
      <c r="P381" s="9" t="s">
        <v>58</v>
      </c>
      <c r="Q381" s="9">
        <v>24</v>
      </c>
      <c r="R381" s="9">
        <v>3</v>
      </c>
      <c r="S381" s="9">
        <v>21</v>
      </c>
      <c r="T381" s="9">
        <v>13</v>
      </c>
      <c r="U381" s="9">
        <v>0</v>
      </c>
      <c r="V381" s="9" t="s">
        <v>114</v>
      </c>
      <c r="W381" s="9">
        <v>0</v>
      </c>
      <c r="X381" s="9">
        <v>0</v>
      </c>
      <c r="Y381" s="9">
        <v>0</v>
      </c>
      <c r="Z381" s="9">
        <v>0</v>
      </c>
      <c r="AA381" s="9">
        <v>15</v>
      </c>
      <c r="AB381" s="9">
        <v>7</v>
      </c>
      <c r="AC381" s="9">
        <v>14</v>
      </c>
      <c r="AD381" s="9" t="s">
        <v>0</v>
      </c>
      <c r="AE381" s="9" t="s">
        <v>60</v>
      </c>
    </row>
    <row r="382" spans="1:31" ht="51" x14ac:dyDescent="0.2">
      <c r="A382" s="8" t="str">
        <f>HYPERLINK("http://www.patentics.cn/invokexml.do?sx=showpatent_cn&amp;sf=ShowPatent&amp;spn=CN102960034B&amp;sx=showpatent_cn&amp;sv=e4e55a26dc402360f2d62bbc31bda3d0","CN102960034B")</f>
        <v>CN102960034B</v>
      </c>
      <c r="B382" s="9" t="s">
        <v>1820</v>
      </c>
      <c r="C382" s="9" t="s">
        <v>1821</v>
      </c>
      <c r="D382" s="9" t="s">
        <v>301</v>
      </c>
      <c r="E382" s="9" t="s">
        <v>301</v>
      </c>
      <c r="F382" s="9" t="s">
        <v>1822</v>
      </c>
      <c r="G382" s="9" t="s">
        <v>1823</v>
      </c>
      <c r="H382" s="9" t="s">
        <v>639</v>
      </c>
      <c r="I382" s="9" t="s">
        <v>451</v>
      </c>
      <c r="J382" s="9" t="s">
        <v>1824</v>
      </c>
      <c r="K382" s="9" t="s">
        <v>55</v>
      </c>
      <c r="L382" s="9" t="s">
        <v>1825</v>
      </c>
      <c r="M382" s="9">
        <v>52</v>
      </c>
      <c r="N382" s="9">
        <v>15</v>
      </c>
      <c r="O382" s="9" t="s">
        <v>57</v>
      </c>
      <c r="P382" s="9" t="s">
        <v>58</v>
      </c>
      <c r="Q382" s="9">
        <v>4</v>
      </c>
      <c r="R382" s="9">
        <v>0</v>
      </c>
      <c r="S382" s="9">
        <v>4</v>
      </c>
      <c r="T382" s="9">
        <v>4</v>
      </c>
      <c r="U382" s="9">
        <v>0</v>
      </c>
      <c r="V382" s="9" t="s">
        <v>114</v>
      </c>
      <c r="W382" s="9">
        <v>0</v>
      </c>
      <c r="X382" s="9">
        <v>0</v>
      </c>
      <c r="Y382" s="9">
        <v>0</v>
      </c>
      <c r="Z382" s="9">
        <v>0</v>
      </c>
      <c r="AA382" s="9">
        <v>15</v>
      </c>
      <c r="AB382" s="9">
        <v>7</v>
      </c>
      <c r="AC382" s="9">
        <v>14</v>
      </c>
      <c r="AD382" s="9" t="s">
        <v>0</v>
      </c>
      <c r="AE382" s="9" t="s">
        <v>60</v>
      </c>
    </row>
    <row r="383" spans="1:31" ht="51" x14ac:dyDescent="0.2">
      <c r="A383" s="8" t="str">
        <f>HYPERLINK("http://www.patentics.cn/invokexml.do?sx=showpatent_cn&amp;sf=ShowPatent&amp;spn=CN102960034&amp;sx=showpatent_cn&amp;sv=3f4f6bde06b8cd0f0a4c7ccfcf4b48de","CN102960034")</f>
        <v>CN102960034</v>
      </c>
      <c r="B383" s="9" t="s">
        <v>1820</v>
      </c>
      <c r="C383" s="9" t="s">
        <v>1821</v>
      </c>
      <c r="D383" s="9" t="s">
        <v>301</v>
      </c>
      <c r="E383" s="9" t="s">
        <v>301</v>
      </c>
      <c r="F383" s="9" t="s">
        <v>1822</v>
      </c>
      <c r="G383" s="9" t="s">
        <v>1823</v>
      </c>
      <c r="H383" s="9" t="s">
        <v>639</v>
      </c>
      <c r="I383" s="9" t="s">
        <v>451</v>
      </c>
      <c r="J383" s="9" t="s">
        <v>1222</v>
      </c>
      <c r="K383" s="9" t="s">
        <v>55</v>
      </c>
      <c r="L383" s="9" t="s">
        <v>1825</v>
      </c>
      <c r="M383" s="9">
        <v>75</v>
      </c>
      <c r="N383" s="9">
        <v>11</v>
      </c>
      <c r="O383" s="9" t="s">
        <v>42</v>
      </c>
      <c r="P383" s="9" t="s">
        <v>58</v>
      </c>
      <c r="Q383" s="9">
        <v>6</v>
      </c>
      <c r="R383" s="9">
        <v>0</v>
      </c>
      <c r="S383" s="9">
        <v>6</v>
      </c>
      <c r="T383" s="9">
        <v>5</v>
      </c>
      <c r="U383" s="9">
        <v>2</v>
      </c>
      <c r="V383" s="9" t="s">
        <v>1826</v>
      </c>
      <c r="W383" s="9">
        <v>2</v>
      </c>
      <c r="X383" s="9">
        <v>0</v>
      </c>
      <c r="Y383" s="9">
        <v>1</v>
      </c>
      <c r="Z383" s="9">
        <v>1</v>
      </c>
      <c r="AA383" s="9">
        <v>15</v>
      </c>
      <c r="AB383" s="9">
        <v>7</v>
      </c>
      <c r="AC383" s="9">
        <v>14</v>
      </c>
      <c r="AD383" s="9" t="s">
        <v>0</v>
      </c>
      <c r="AE383" s="9" t="s">
        <v>60</v>
      </c>
    </row>
    <row r="384" spans="1:31" ht="76.5" x14ac:dyDescent="0.2">
      <c r="A384" s="6" t="str">
        <f>HYPERLINK("http://www.patentics.cn/invokexml.do?sx=showpatent_cn&amp;sf=ShowPatent&amp;spn=CN101370293&amp;sx=showpatent_cn&amp;sv=818da1944479e13860f6dd2def2e05fd","CN101370293")</f>
        <v>CN101370293</v>
      </c>
      <c r="B384" s="7" t="s">
        <v>1827</v>
      </c>
      <c r="C384" s="7" t="s">
        <v>1828</v>
      </c>
      <c r="D384" s="7" t="s">
        <v>1097</v>
      </c>
      <c r="E384" s="7" t="s">
        <v>1097</v>
      </c>
      <c r="F384" s="7" t="s">
        <v>1829</v>
      </c>
      <c r="G384" s="7" t="s">
        <v>1830</v>
      </c>
      <c r="H384" s="7" t="s">
        <v>0</v>
      </c>
      <c r="I384" s="7" t="s">
        <v>1831</v>
      </c>
      <c r="J384" s="7" t="s">
        <v>256</v>
      </c>
      <c r="K384" s="7" t="s">
        <v>96</v>
      </c>
      <c r="L384" s="7" t="s">
        <v>1102</v>
      </c>
      <c r="M384" s="7">
        <v>9</v>
      </c>
      <c r="N384" s="7">
        <v>15</v>
      </c>
      <c r="O384" s="7" t="s">
        <v>42</v>
      </c>
      <c r="P384" s="7" t="s">
        <v>43</v>
      </c>
      <c r="Q384" s="7">
        <v>0</v>
      </c>
      <c r="R384" s="7">
        <v>0</v>
      </c>
      <c r="S384" s="7">
        <v>0</v>
      </c>
      <c r="T384" s="7">
        <v>0</v>
      </c>
      <c r="U384" s="7">
        <v>11</v>
      </c>
      <c r="V384" s="7" t="s">
        <v>1832</v>
      </c>
      <c r="W384" s="7">
        <v>2</v>
      </c>
      <c r="X384" s="7">
        <v>9</v>
      </c>
      <c r="Y384" s="7">
        <v>5</v>
      </c>
      <c r="Z384" s="7">
        <v>3</v>
      </c>
      <c r="AA384" s="7">
        <v>0</v>
      </c>
      <c r="AB384" s="7">
        <v>0</v>
      </c>
      <c r="AC384" s="7" t="s">
        <v>0</v>
      </c>
      <c r="AD384" s="7">
        <v>4</v>
      </c>
      <c r="AE384" s="7" t="s">
        <v>1390</v>
      </c>
    </row>
    <row r="385" spans="1:31" ht="204" x14ac:dyDescent="0.2">
      <c r="A385" s="8" t="str">
        <f>HYPERLINK("http://www.patentics.cn/invokexml.do?sx=showpatent_cn&amp;sf=ShowPatent&amp;spn=US9026074&amp;sx=showpatent_cn&amp;sv=d8edb5e2753c3a7c5a8d9701e5d577ea","US9026074")</f>
        <v>US9026074</v>
      </c>
      <c r="B385" s="9" t="s">
        <v>1833</v>
      </c>
      <c r="C385" s="9" t="s">
        <v>1834</v>
      </c>
      <c r="D385" s="9" t="s">
        <v>48</v>
      </c>
      <c r="E385" s="9" t="s">
        <v>49</v>
      </c>
      <c r="F385" s="9" t="s">
        <v>1835</v>
      </c>
      <c r="G385" s="9" t="s">
        <v>1836</v>
      </c>
      <c r="H385" s="9" t="s">
        <v>1837</v>
      </c>
      <c r="I385" s="9" t="s">
        <v>1838</v>
      </c>
      <c r="J385" s="9" t="s">
        <v>1199</v>
      </c>
      <c r="K385" s="9" t="s">
        <v>714</v>
      </c>
      <c r="L385" s="9" t="s">
        <v>1839</v>
      </c>
      <c r="M385" s="9">
        <v>28</v>
      </c>
      <c r="N385" s="9">
        <v>5</v>
      </c>
      <c r="O385" s="9" t="s">
        <v>57</v>
      </c>
      <c r="P385" s="9" t="s">
        <v>58</v>
      </c>
      <c r="Q385" s="9">
        <v>34</v>
      </c>
      <c r="R385" s="9">
        <v>3</v>
      </c>
      <c r="S385" s="9">
        <v>31</v>
      </c>
      <c r="T385" s="9">
        <v>21</v>
      </c>
      <c r="U385" s="9">
        <v>1</v>
      </c>
      <c r="V385" s="9" t="s">
        <v>82</v>
      </c>
      <c r="W385" s="9">
        <v>1</v>
      </c>
      <c r="X385" s="9">
        <v>0</v>
      </c>
      <c r="Y385" s="9">
        <v>1</v>
      </c>
      <c r="Z385" s="9">
        <v>1</v>
      </c>
      <c r="AA385" s="9">
        <v>29</v>
      </c>
      <c r="AB385" s="9">
        <v>7</v>
      </c>
      <c r="AC385" s="9">
        <v>14</v>
      </c>
      <c r="AD385" s="9" t="s">
        <v>0</v>
      </c>
      <c r="AE385" s="9" t="s">
        <v>60</v>
      </c>
    </row>
    <row r="386" spans="1:31" ht="89.25" x14ac:dyDescent="0.2">
      <c r="A386" s="8" t="str">
        <f>HYPERLINK("http://www.patentics.cn/invokexml.do?sx=showpatent_cn&amp;sf=ShowPatent&amp;spn=US9307448&amp;sx=showpatent_cn&amp;sv=bc39d64f28115d7f49e98e73257fc117","US9307448")</f>
        <v>US9307448</v>
      </c>
      <c r="B386" s="9" t="s">
        <v>1840</v>
      </c>
      <c r="C386" s="9" t="s">
        <v>1834</v>
      </c>
      <c r="D386" s="9" t="s">
        <v>48</v>
      </c>
      <c r="E386" s="9" t="s">
        <v>49</v>
      </c>
      <c r="F386" s="9" t="s">
        <v>1841</v>
      </c>
      <c r="G386" s="9" t="s">
        <v>1836</v>
      </c>
      <c r="H386" s="9" t="s">
        <v>1837</v>
      </c>
      <c r="I386" s="9" t="s">
        <v>1842</v>
      </c>
      <c r="J386" s="9" t="s">
        <v>271</v>
      </c>
      <c r="K386" s="9" t="s">
        <v>229</v>
      </c>
      <c r="L386" s="9" t="s">
        <v>1843</v>
      </c>
      <c r="M386" s="9">
        <v>17</v>
      </c>
      <c r="N386" s="9">
        <v>5</v>
      </c>
      <c r="O386" s="9" t="s">
        <v>57</v>
      </c>
      <c r="P386" s="9" t="s">
        <v>58</v>
      </c>
      <c r="Q386" s="9">
        <v>68</v>
      </c>
      <c r="R386" s="9">
        <v>8</v>
      </c>
      <c r="S386" s="9">
        <v>60</v>
      </c>
      <c r="T386" s="9">
        <v>31</v>
      </c>
      <c r="U386" s="9">
        <v>0</v>
      </c>
      <c r="V386" s="9" t="s">
        <v>114</v>
      </c>
      <c r="W386" s="9">
        <v>0</v>
      </c>
      <c r="X386" s="9">
        <v>0</v>
      </c>
      <c r="Y386" s="9">
        <v>0</v>
      </c>
      <c r="Z386" s="9">
        <v>0</v>
      </c>
      <c r="AA386" s="9">
        <v>29</v>
      </c>
      <c r="AB386" s="9">
        <v>7</v>
      </c>
      <c r="AC386" s="9">
        <v>14</v>
      </c>
      <c r="AD386" s="9" t="s">
        <v>0</v>
      </c>
      <c r="AE386" s="9" t="s">
        <v>60</v>
      </c>
    </row>
    <row r="387" spans="1:31" ht="114.75" x14ac:dyDescent="0.2">
      <c r="A387" s="8" t="str">
        <f>HYPERLINK("http://www.patentics.cn/invokexml.do?sx=showpatent_cn&amp;sf=ShowPatent&amp;spn=CN102934508B&amp;sx=showpatent_cn&amp;sv=ad2ff377c40d5d6c3ffc4f4587ca81ff","CN102934508B")</f>
        <v>CN102934508B</v>
      </c>
      <c r="B387" s="9" t="s">
        <v>1844</v>
      </c>
      <c r="C387" s="9" t="s">
        <v>1845</v>
      </c>
      <c r="D387" s="9" t="s">
        <v>301</v>
      </c>
      <c r="E387" s="9" t="s">
        <v>301</v>
      </c>
      <c r="F387" s="9" t="s">
        <v>1846</v>
      </c>
      <c r="G387" s="9" t="s">
        <v>1847</v>
      </c>
      <c r="H387" s="9" t="s">
        <v>1837</v>
      </c>
      <c r="I387" s="9" t="s">
        <v>1848</v>
      </c>
      <c r="J387" s="9" t="s">
        <v>1849</v>
      </c>
      <c r="K387" s="9" t="s">
        <v>55</v>
      </c>
      <c r="L387" s="9" t="s">
        <v>1850</v>
      </c>
      <c r="M387" s="9">
        <v>21</v>
      </c>
      <c r="N387" s="9">
        <v>12</v>
      </c>
      <c r="O387" s="9" t="s">
        <v>57</v>
      </c>
      <c r="P387" s="9" t="s">
        <v>58</v>
      </c>
      <c r="Q387" s="9">
        <v>4</v>
      </c>
      <c r="R387" s="9">
        <v>0</v>
      </c>
      <c r="S387" s="9">
        <v>4</v>
      </c>
      <c r="T387" s="9">
        <v>4</v>
      </c>
      <c r="U387" s="9">
        <v>0</v>
      </c>
      <c r="V387" s="9" t="s">
        <v>114</v>
      </c>
      <c r="W387" s="9">
        <v>0</v>
      </c>
      <c r="X387" s="9">
        <v>0</v>
      </c>
      <c r="Y387" s="9">
        <v>0</v>
      </c>
      <c r="Z387" s="9">
        <v>0</v>
      </c>
      <c r="AA387" s="9">
        <v>29</v>
      </c>
      <c r="AB387" s="9">
        <v>7</v>
      </c>
      <c r="AC387" s="9">
        <v>14</v>
      </c>
      <c r="AD387" s="9" t="s">
        <v>0</v>
      </c>
      <c r="AE387" s="9" t="s">
        <v>60</v>
      </c>
    </row>
    <row r="388" spans="1:31" ht="114.75" x14ac:dyDescent="0.2">
      <c r="A388" s="8" t="str">
        <f>HYPERLINK("http://www.patentics.cn/invokexml.do?sx=showpatent_cn&amp;sf=ShowPatent&amp;spn=CN102934508&amp;sx=showpatent_cn&amp;sv=a064e19c2fffbb7cbe8d840b9a0e16c7","CN102934508")</f>
        <v>CN102934508</v>
      </c>
      <c r="B388" s="9" t="s">
        <v>1844</v>
      </c>
      <c r="C388" s="9" t="s">
        <v>1845</v>
      </c>
      <c r="D388" s="9" t="s">
        <v>301</v>
      </c>
      <c r="E388" s="9" t="s">
        <v>301</v>
      </c>
      <c r="F388" s="9" t="s">
        <v>1846</v>
      </c>
      <c r="G388" s="9" t="s">
        <v>1847</v>
      </c>
      <c r="H388" s="9" t="s">
        <v>1837</v>
      </c>
      <c r="I388" s="9" t="s">
        <v>1848</v>
      </c>
      <c r="J388" s="9" t="s">
        <v>703</v>
      </c>
      <c r="K388" s="9" t="s">
        <v>55</v>
      </c>
      <c r="L388" s="9" t="s">
        <v>1850</v>
      </c>
      <c r="M388" s="9">
        <v>32</v>
      </c>
      <c r="N388" s="9">
        <v>8</v>
      </c>
      <c r="O388" s="9" t="s">
        <v>42</v>
      </c>
      <c r="P388" s="9" t="s">
        <v>58</v>
      </c>
      <c r="Q388" s="9">
        <v>4</v>
      </c>
      <c r="R388" s="9">
        <v>0</v>
      </c>
      <c r="S388" s="9">
        <v>4</v>
      </c>
      <c r="T388" s="9">
        <v>4</v>
      </c>
      <c r="U388" s="9">
        <v>0</v>
      </c>
      <c r="V388" s="9" t="s">
        <v>114</v>
      </c>
      <c r="W388" s="9">
        <v>0</v>
      </c>
      <c r="X388" s="9">
        <v>0</v>
      </c>
      <c r="Y388" s="9">
        <v>0</v>
      </c>
      <c r="Z388" s="9">
        <v>0</v>
      </c>
      <c r="AA388" s="9">
        <v>29</v>
      </c>
      <c r="AB388" s="9">
        <v>7</v>
      </c>
      <c r="AC388" s="9">
        <v>14</v>
      </c>
      <c r="AD388" s="9" t="s">
        <v>0</v>
      </c>
      <c r="AE388" s="9" t="s">
        <v>60</v>
      </c>
    </row>
    <row r="389" spans="1:31" ht="102" x14ac:dyDescent="0.2">
      <c r="A389" s="6" t="str">
        <f>HYPERLINK("http://www.patentics.cn/invokexml.do?sx=showpatent_cn&amp;sf=ShowPatent&amp;spn=CN101350134&amp;sx=showpatent_cn&amp;sv=83e8804bbec2304016ede5de9a8efa37","CN101350134")</f>
        <v>CN101350134</v>
      </c>
      <c r="B389" s="7" t="s">
        <v>1851</v>
      </c>
      <c r="C389" s="7" t="s">
        <v>1852</v>
      </c>
      <c r="D389" s="7" t="s">
        <v>1853</v>
      </c>
      <c r="E389" s="7" t="s">
        <v>1853</v>
      </c>
      <c r="F389" s="7" t="s">
        <v>1854</v>
      </c>
      <c r="G389" s="7" t="s">
        <v>1855</v>
      </c>
      <c r="H389" s="7" t="s">
        <v>0</v>
      </c>
      <c r="I389" s="7" t="s">
        <v>1856</v>
      </c>
      <c r="J389" s="7" t="s">
        <v>1857</v>
      </c>
      <c r="K389" s="7" t="s">
        <v>1858</v>
      </c>
      <c r="L389" s="7" t="s">
        <v>1859</v>
      </c>
      <c r="M389" s="7">
        <v>7</v>
      </c>
      <c r="N389" s="7">
        <v>20</v>
      </c>
      <c r="O389" s="7" t="s">
        <v>42</v>
      </c>
      <c r="P389" s="7" t="s">
        <v>43</v>
      </c>
      <c r="Q389" s="7">
        <v>0</v>
      </c>
      <c r="R389" s="7">
        <v>0</v>
      </c>
      <c r="S389" s="7">
        <v>0</v>
      </c>
      <c r="T389" s="7">
        <v>0</v>
      </c>
      <c r="U389" s="7">
        <v>16</v>
      </c>
      <c r="V389" s="7" t="s">
        <v>1860</v>
      </c>
      <c r="W389" s="7">
        <v>2</v>
      </c>
      <c r="X389" s="7">
        <v>14</v>
      </c>
      <c r="Y389" s="7">
        <v>9</v>
      </c>
      <c r="Z389" s="7">
        <v>3</v>
      </c>
      <c r="AA389" s="7">
        <v>0</v>
      </c>
      <c r="AB389" s="7">
        <v>0</v>
      </c>
      <c r="AC389" s="7" t="s">
        <v>0</v>
      </c>
      <c r="AD389" s="7">
        <v>4</v>
      </c>
      <c r="AE389" s="7" t="s">
        <v>45</v>
      </c>
    </row>
    <row r="390" spans="1:31" ht="76.5" x14ac:dyDescent="0.2">
      <c r="A390" s="8" t="str">
        <f>HYPERLINK("http://www.patentics.cn/invokexml.do?sx=showpatent_cn&amp;sf=ShowPatent&amp;spn=US8989697&amp;sx=showpatent_cn&amp;sv=ab7fc86e6e480422b8647f55fae8e4fe","US8989697")</f>
        <v>US8989697</v>
      </c>
      <c r="B390" s="9" t="s">
        <v>1861</v>
      </c>
      <c r="C390" s="9" t="s">
        <v>1862</v>
      </c>
      <c r="D390" s="9" t="s">
        <v>48</v>
      </c>
      <c r="E390" s="9" t="s">
        <v>49</v>
      </c>
      <c r="F390" s="9" t="s">
        <v>1863</v>
      </c>
      <c r="G390" s="9" t="s">
        <v>1864</v>
      </c>
      <c r="H390" s="9" t="s">
        <v>1865</v>
      </c>
      <c r="I390" s="9" t="s">
        <v>678</v>
      </c>
      <c r="J390" s="9" t="s">
        <v>1265</v>
      </c>
      <c r="K390" s="9" t="s">
        <v>229</v>
      </c>
      <c r="L390" s="9" t="s">
        <v>1843</v>
      </c>
      <c r="M390" s="9">
        <v>46</v>
      </c>
      <c r="N390" s="9">
        <v>11</v>
      </c>
      <c r="O390" s="9" t="s">
        <v>57</v>
      </c>
      <c r="P390" s="9" t="s">
        <v>58</v>
      </c>
      <c r="Q390" s="9">
        <v>30</v>
      </c>
      <c r="R390" s="9">
        <v>7</v>
      </c>
      <c r="S390" s="9">
        <v>23</v>
      </c>
      <c r="T390" s="9">
        <v>18</v>
      </c>
      <c r="U390" s="9">
        <v>0</v>
      </c>
      <c r="V390" s="9" t="s">
        <v>114</v>
      </c>
      <c r="W390" s="9">
        <v>0</v>
      </c>
      <c r="X390" s="9">
        <v>0</v>
      </c>
      <c r="Y390" s="9">
        <v>0</v>
      </c>
      <c r="Z390" s="9">
        <v>0</v>
      </c>
      <c r="AA390" s="9">
        <v>19</v>
      </c>
      <c r="AB390" s="9">
        <v>7</v>
      </c>
      <c r="AC390" s="9">
        <v>14</v>
      </c>
      <c r="AD390" s="9" t="s">
        <v>0</v>
      </c>
      <c r="AE390" s="9" t="s">
        <v>60</v>
      </c>
    </row>
    <row r="391" spans="1:31" ht="63.75" x14ac:dyDescent="0.2">
      <c r="A391" s="8" t="str">
        <f>HYPERLINK("http://www.patentics.cn/invokexml.do?sx=showpatent_cn&amp;sf=ShowPatent&amp;spn=CN103518232B&amp;sx=showpatent_cn&amp;sv=1c0f5604395da16a925e9989af8fafe6","CN103518232B")</f>
        <v>CN103518232B</v>
      </c>
      <c r="B391" s="9" t="s">
        <v>1866</v>
      </c>
      <c r="C391" s="9" t="s">
        <v>1867</v>
      </c>
      <c r="D391" s="9" t="s">
        <v>301</v>
      </c>
      <c r="E391" s="9" t="s">
        <v>301</v>
      </c>
      <c r="F391" s="9" t="s">
        <v>1868</v>
      </c>
      <c r="G391" s="9" t="s">
        <v>1869</v>
      </c>
      <c r="H391" s="9" t="s">
        <v>1865</v>
      </c>
      <c r="I391" s="9" t="s">
        <v>1870</v>
      </c>
      <c r="J391" s="9" t="s">
        <v>330</v>
      </c>
      <c r="K391" s="9" t="s">
        <v>1858</v>
      </c>
      <c r="L391" s="9" t="s">
        <v>1871</v>
      </c>
      <c r="M391" s="9">
        <v>34</v>
      </c>
      <c r="N391" s="9">
        <v>8</v>
      </c>
      <c r="O391" s="9" t="s">
        <v>57</v>
      </c>
      <c r="P391" s="9" t="s">
        <v>58</v>
      </c>
      <c r="Q391" s="9">
        <v>2</v>
      </c>
      <c r="R391" s="9">
        <v>0</v>
      </c>
      <c r="S391" s="9">
        <v>2</v>
      </c>
      <c r="T391" s="9">
        <v>2</v>
      </c>
      <c r="U391" s="9">
        <v>0</v>
      </c>
      <c r="V391" s="9" t="s">
        <v>114</v>
      </c>
      <c r="W391" s="9">
        <v>0</v>
      </c>
      <c r="X391" s="9">
        <v>0</v>
      </c>
      <c r="Y391" s="9">
        <v>0</v>
      </c>
      <c r="Z391" s="9">
        <v>0</v>
      </c>
      <c r="AA391" s="9">
        <v>19</v>
      </c>
      <c r="AB391" s="9">
        <v>7</v>
      </c>
      <c r="AC391" s="9">
        <v>14</v>
      </c>
      <c r="AD391" s="9" t="s">
        <v>0</v>
      </c>
      <c r="AE391" s="9" t="s">
        <v>60</v>
      </c>
    </row>
    <row r="392" spans="1:31" ht="51" x14ac:dyDescent="0.2">
      <c r="A392" s="8" t="str">
        <f>HYPERLINK("http://www.patentics.cn/invokexml.do?sx=showpatent_cn&amp;sf=ShowPatent&amp;spn=CN103518390B&amp;sx=showpatent_cn&amp;sv=4f92b00357b91471edf1f8b530ab1465","CN103518390B")</f>
        <v>CN103518390B</v>
      </c>
      <c r="B392" s="9" t="s">
        <v>1872</v>
      </c>
      <c r="C392" s="9" t="s">
        <v>1873</v>
      </c>
      <c r="D392" s="9" t="s">
        <v>301</v>
      </c>
      <c r="E392" s="9" t="s">
        <v>301</v>
      </c>
      <c r="F392" s="9" t="s">
        <v>1874</v>
      </c>
      <c r="G392" s="9" t="s">
        <v>1875</v>
      </c>
      <c r="H392" s="9" t="s">
        <v>1865</v>
      </c>
      <c r="I392" s="9" t="s">
        <v>1876</v>
      </c>
      <c r="J392" s="9" t="s">
        <v>1877</v>
      </c>
      <c r="K392" s="9" t="s">
        <v>55</v>
      </c>
      <c r="L392" s="9" t="s">
        <v>1878</v>
      </c>
      <c r="M392" s="9">
        <v>30</v>
      </c>
      <c r="N392" s="9">
        <v>14</v>
      </c>
      <c r="O392" s="9" t="s">
        <v>57</v>
      </c>
      <c r="P392" s="9" t="s">
        <v>58</v>
      </c>
      <c r="Q392" s="9">
        <v>3</v>
      </c>
      <c r="R392" s="9">
        <v>1</v>
      </c>
      <c r="S392" s="9">
        <v>2</v>
      </c>
      <c r="T392" s="9">
        <v>2</v>
      </c>
      <c r="U392" s="9">
        <v>0</v>
      </c>
      <c r="V392" s="9" t="s">
        <v>114</v>
      </c>
      <c r="W392" s="9">
        <v>0</v>
      </c>
      <c r="X392" s="9">
        <v>0</v>
      </c>
      <c r="Y392" s="9">
        <v>0</v>
      </c>
      <c r="Z392" s="9">
        <v>0</v>
      </c>
      <c r="AA392" s="9">
        <v>0</v>
      </c>
      <c r="AB392" s="9">
        <v>0</v>
      </c>
      <c r="AC392" s="9">
        <v>14</v>
      </c>
      <c r="AD392" s="9" t="s">
        <v>0</v>
      </c>
      <c r="AE392" s="9" t="s">
        <v>60</v>
      </c>
    </row>
    <row r="393" spans="1:31" ht="63.75" x14ac:dyDescent="0.2">
      <c r="A393" s="8" t="str">
        <f>HYPERLINK("http://www.patentics.cn/invokexml.do?sx=showpatent_cn&amp;sf=ShowPatent&amp;spn=CN103518232&amp;sx=showpatent_cn&amp;sv=9043b75618a10b0352ba783c528ab41b","CN103518232")</f>
        <v>CN103518232</v>
      </c>
      <c r="B393" s="9" t="s">
        <v>1866</v>
      </c>
      <c r="C393" s="9" t="s">
        <v>1879</v>
      </c>
      <c r="D393" s="9" t="s">
        <v>301</v>
      </c>
      <c r="E393" s="9" t="s">
        <v>301</v>
      </c>
      <c r="F393" s="9" t="s">
        <v>1880</v>
      </c>
      <c r="G393" s="9" t="s">
        <v>1881</v>
      </c>
      <c r="H393" s="9" t="s">
        <v>1865</v>
      </c>
      <c r="I393" s="9" t="s">
        <v>1870</v>
      </c>
      <c r="J393" s="9" t="s">
        <v>1882</v>
      </c>
      <c r="K393" s="9" t="s">
        <v>1858</v>
      </c>
      <c r="L393" s="9" t="s">
        <v>1871</v>
      </c>
      <c r="M393" s="9">
        <v>50</v>
      </c>
      <c r="N393" s="9">
        <v>9</v>
      </c>
      <c r="O393" s="9" t="s">
        <v>42</v>
      </c>
      <c r="P393" s="9" t="s">
        <v>58</v>
      </c>
      <c r="Q393" s="9">
        <v>3</v>
      </c>
      <c r="R393" s="9">
        <v>0</v>
      </c>
      <c r="S393" s="9">
        <v>3</v>
      </c>
      <c r="T393" s="9">
        <v>2</v>
      </c>
      <c r="U393" s="9">
        <v>0</v>
      </c>
      <c r="V393" s="9" t="s">
        <v>114</v>
      </c>
      <c r="W393" s="9">
        <v>0</v>
      </c>
      <c r="X393" s="9">
        <v>0</v>
      </c>
      <c r="Y393" s="9">
        <v>0</v>
      </c>
      <c r="Z393" s="9">
        <v>0</v>
      </c>
      <c r="AA393" s="9">
        <v>19</v>
      </c>
      <c r="AB393" s="9">
        <v>7</v>
      </c>
      <c r="AC393" s="9">
        <v>14</v>
      </c>
      <c r="AD393" s="9" t="s">
        <v>0</v>
      </c>
      <c r="AE393" s="9" t="s">
        <v>60</v>
      </c>
    </row>
    <row r="394" spans="1:31" ht="25.5" x14ac:dyDescent="0.2">
      <c r="A394" s="6" t="str">
        <f>HYPERLINK("http://www.patentics.cn/invokexml.do?sx=showpatent_cn&amp;sf=ShowPatent&amp;spn=CN101159462&amp;sx=showpatent_cn&amp;sv=cc14a9f9813690deec3c834d85aab029","CN101159462")</f>
        <v>CN101159462</v>
      </c>
      <c r="B394" s="7" t="s">
        <v>1883</v>
      </c>
      <c r="C394" s="7" t="s">
        <v>1884</v>
      </c>
      <c r="D394" s="7" t="s">
        <v>1885</v>
      </c>
      <c r="E394" s="7" t="s">
        <v>1886</v>
      </c>
      <c r="F394" s="7" t="s">
        <v>1887</v>
      </c>
      <c r="G394" s="7" t="s">
        <v>1888</v>
      </c>
      <c r="H394" s="7" t="s">
        <v>0</v>
      </c>
      <c r="I394" s="7" t="s">
        <v>1889</v>
      </c>
      <c r="J394" s="7" t="s">
        <v>1890</v>
      </c>
      <c r="K394" s="7" t="s">
        <v>89</v>
      </c>
      <c r="L394" s="7" t="s">
        <v>340</v>
      </c>
      <c r="M394" s="7">
        <v>5</v>
      </c>
      <c r="N394" s="7">
        <v>25</v>
      </c>
      <c r="O394" s="7" t="s">
        <v>42</v>
      </c>
      <c r="P394" s="7" t="s">
        <v>43</v>
      </c>
      <c r="Q394" s="7">
        <v>0</v>
      </c>
      <c r="R394" s="7">
        <v>0</v>
      </c>
      <c r="S394" s="7">
        <v>0</v>
      </c>
      <c r="T394" s="7">
        <v>0</v>
      </c>
      <c r="U394" s="7">
        <v>28</v>
      </c>
      <c r="V394" s="7" t="s">
        <v>1891</v>
      </c>
      <c r="W394" s="7">
        <v>0</v>
      </c>
      <c r="X394" s="7">
        <v>28</v>
      </c>
      <c r="Y394" s="7">
        <v>12</v>
      </c>
      <c r="Z394" s="7">
        <v>3</v>
      </c>
      <c r="AA394" s="7">
        <v>0</v>
      </c>
      <c r="AB394" s="7">
        <v>0</v>
      </c>
      <c r="AC394" s="7" t="s">
        <v>0</v>
      </c>
      <c r="AD394" s="7">
        <v>4</v>
      </c>
      <c r="AE394" s="7" t="s">
        <v>45</v>
      </c>
    </row>
    <row r="395" spans="1:31" ht="51" x14ac:dyDescent="0.2">
      <c r="A395" s="8" t="str">
        <f>HYPERLINK("http://www.patentics.cn/invokexml.do?sx=showpatent_cn&amp;sf=ShowPatent&amp;spn=US8867494&amp;sx=showpatent_cn&amp;sv=07142330cc7ab1b3da8b7feb88728d08","US8867494")</f>
        <v>US8867494</v>
      </c>
      <c r="B395" s="9" t="s">
        <v>1892</v>
      </c>
      <c r="C395" s="9" t="s">
        <v>1893</v>
      </c>
      <c r="D395" s="9" t="s">
        <v>48</v>
      </c>
      <c r="E395" s="9" t="s">
        <v>49</v>
      </c>
      <c r="F395" s="9" t="s">
        <v>1894</v>
      </c>
      <c r="G395" s="9" t="s">
        <v>1895</v>
      </c>
      <c r="H395" s="9" t="s">
        <v>1896</v>
      </c>
      <c r="I395" s="9" t="s">
        <v>1897</v>
      </c>
      <c r="J395" s="9" t="s">
        <v>1021</v>
      </c>
      <c r="K395" s="9" t="s">
        <v>55</v>
      </c>
      <c r="L395" s="9" t="s">
        <v>150</v>
      </c>
      <c r="M395" s="9">
        <v>24</v>
      </c>
      <c r="N395" s="9">
        <v>11</v>
      </c>
      <c r="O395" s="9" t="s">
        <v>57</v>
      </c>
      <c r="P395" s="9" t="s">
        <v>58</v>
      </c>
      <c r="Q395" s="9">
        <v>24</v>
      </c>
      <c r="R395" s="9">
        <v>3</v>
      </c>
      <c r="S395" s="9">
        <v>21</v>
      </c>
      <c r="T395" s="9">
        <v>15</v>
      </c>
      <c r="U395" s="9">
        <v>13</v>
      </c>
      <c r="V395" s="9" t="s">
        <v>452</v>
      </c>
      <c r="W395" s="9">
        <v>0</v>
      </c>
      <c r="X395" s="9">
        <v>13</v>
      </c>
      <c r="Y395" s="9">
        <v>1</v>
      </c>
      <c r="Z395" s="9">
        <v>2</v>
      </c>
      <c r="AA395" s="9">
        <v>13</v>
      </c>
      <c r="AB395" s="9">
        <v>9</v>
      </c>
      <c r="AC395" s="9">
        <v>14</v>
      </c>
      <c r="AD395" s="9" t="s">
        <v>0</v>
      </c>
      <c r="AE395" s="9" t="s">
        <v>60</v>
      </c>
    </row>
    <row r="396" spans="1:31" ht="25.5" x14ac:dyDescent="0.2">
      <c r="A396" s="8" t="str">
        <f>HYPERLINK("http://www.patentics.cn/invokexml.do?sx=showpatent_cn&amp;sf=ShowPatent&amp;spn=CN102027723B&amp;sx=showpatent_cn&amp;sv=e8be64ce005d3fd686d71d22854ce96c","CN102027723B")</f>
        <v>CN102027723B</v>
      </c>
      <c r="B396" s="9" t="s">
        <v>1898</v>
      </c>
      <c r="C396" s="9" t="s">
        <v>1899</v>
      </c>
      <c r="D396" s="9" t="s">
        <v>301</v>
      </c>
      <c r="E396" s="9" t="s">
        <v>301</v>
      </c>
      <c r="F396" s="9" t="s">
        <v>1900</v>
      </c>
      <c r="G396" s="9" t="s">
        <v>1900</v>
      </c>
      <c r="H396" s="9" t="s">
        <v>1901</v>
      </c>
      <c r="I396" s="9" t="s">
        <v>1902</v>
      </c>
      <c r="J396" s="9" t="s">
        <v>1903</v>
      </c>
      <c r="K396" s="9" t="s">
        <v>68</v>
      </c>
      <c r="L396" s="9" t="s">
        <v>428</v>
      </c>
      <c r="M396" s="9">
        <v>30</v>
      </c>
      <c r="N396" s="9">
        <v>16</v>
      </c>
      <c r="O396" s="9" t="s">
        <v>57</v>
      </c>
      <c r="P396" s="9" t="s">
        <v>58</v>
      </c>
      <c r="Q396" s="9">
        <v>4</v>
      </c>
      <c r="R396" s="9">
        <v>0</v>
      </c>
      <c r="S396" s="9">
        <v>4</v>
      </c>
      <c r="T396" s="9">
        <v>3</v>
      </c>
      <c r="U396" s="9">
        <v>0</v>
      </c>
      <c r="V396" s="9" t="s">
        <v>114</v>
      </c>
      <c r="W396" s="9">
        <v>0</v>
      </c>
      <c r="X396" s="9">
        <v>0</v>
      </c>
      <c r="Y396" s="9">
        <v>0</v>
      </c>
      <c r="Z396" s="9">
        <v>0</v>
      </c>
      <c r="AA396" s="9">
        <v>53</v>
      </c>
      <c r="AB396" s="9">
        <v>15</v>
      </c>
      <c r="AC396" s="9">
        <v>14</v>
      </c>
      <c r="AD396" s="9" t="s">
        <v>0</v>
      </c>
      <c r="AE396" s="9" t="s">
        <v>60</v>
      </c>
    </row>
    <row r="397" spans="1:31" ht="38.25" x14ac:dyDescent="0.2">
      <c r="A397" s="8" t="str">
        <f>HYPERLINK("http://www.patentics.cn/invokexml.do?sx=showpatent_cn&amp;sf=ShowPatent&amp;spn=CN102549939B&amp;sx=showpatent_cn&amp;sv=51d2bb7b181b53364eda2c9bb4d8e7f9","CN102549939B")</f>
        <v>CN102549939B</v>
      </c>
      <c r="B397" s="9" t="s">
        <v>1904</v>
      </c>
      <c r="C397" s="9" t="s">
        <v>1905</v>
      </c>
      <c r="D397" s="9" t="s">
        <v>301</v>
      </c>
      <c r="E397" s="9" t="s">
        <v>301</v>
      </c>
      <c r="F397" s="9" t="s">
        <v>1906</v>
      </c>
      <c r="G397" s="9" t="s">
        <v>424</v>
      </c>
      <c r="H397" s="9" t="s">
        <v>1907</v>
      </c>
      <c r="I397" s="9" t="s">
        <v>954</v>
      </c>
      <c r="J397" s="9" t="s">
        <v>1220</v>
      </c>
      <c r="K397" s="9" t="s">
        <v>89</v>
      </c>
      <c r="L397" s="9" t="s">
        <v>294</v>
      </c>
      <c r="M397" s="9">
        <v>55</v>
      </c>
      <c r="N397" s="9">
        <v>13</v>
      </c>
      <c r="O397" s="9" t="s">
        <v>57</v>
      </c>
      <c r="P397" s="9" t="s">
        <v>58</v>
      </c>
      <c r="Q397" s="9">
        <v>5</v>
      </c>
      <c r="R397" s="9">
        <v>0</v>
      </c>
      <c r="S397" s="9">
        <v>5</v>
      </c>
      <c r="T397" s="9">
        <v>4</v>
      </c>
      <c r="U397" s="9">
        <v>0</v>
      </c>
      <c r="V397" s="9" t="s">
        <v>114</v>
      </c>
      <c r="W397" s="9">
        <v>0</v>
      </c>
      <c r="X397" s="9">
        <v>0</v>
      </c>
      <c r="Y397" s="9">
        <v>0</v>
      </c>
      <c r="Z397" s="9">
        <v>0</v>
      </c>
      <c r="AA397" s="9">
        <v>10</v>
      </c>
      <c r="AB397" s="9">
        <v>7</v>
      </c>
      <c r="AC397" s="9">
        <v>14</v>
      </c>
      <c r="AD397" s="9" t="s">
        <v>0</v>
      </c>
      <c r="AE397" s="9" t="s">
        <v>60</v>
      </c>
    </row>
    <row r="398" spans="1:31" ht="38.25" x14ac:dyDescent="0.2">
      <c r="A398" s="8" t="str">
        <f>HYPERLINK("http://www.patentics.cn/invokexml.do?sx=showpatent_cn&amp;sf=ShowPatent&amp;spn=CN102549939&amp;sx=showpatent_cn&amp;sv=34923d2a047117f3176214f0d3211c31","CN102549939")</f>
        <v>CN102549939</v>
      </c>
      <c r="B398" s="9" t="s">
        <v>1904</v>
      </c>
      <c r="C398" s="9" t="s">
        <v>1905</v>
      </c>
      <c r="D398" s="9" t="s">
        <v>301</v>
      </c>
      <c r="E398" s="9" t="s">
        <v>301</v>
      </c>
      <c r="F398" s="9" t="s">
        <v>1906</v>
      </c>
      <c r="G398" s="9" t="s">
        <v>424</v>
      </c>
      <c r="H398" s="9" t="s">
        <v>1907</v>
      </c>
      <c r="I398" s="9" t="s">
        <v>954</v>
      </c>
      <c r="J398" s="9" t="s">
        <v>1908</v>
      </c>
      <c r="K398" s="9" t="s">
        <v>89</v>
      </c>
      <c r="L398" s="9" t="s">
        <v>294</v>
      </c>
      <c r="M398" s="9">
        <v>51</v>
      </c>
      <c r="N398" s="9">
        <v>10</v>
      </c>
      <c r="O398" s="9" t="s">
        <v>42</v>
      </c>
      <c r="P398" s="9" t="s">
        <v>58</v>
      </c>
      <c r="Q398" s="9">
        <v>5</v>
      </c>
      <c r="R398" s="9">
        <v>0</v>
      </c>
      <c r="S398" s="9">
        <v>5</v>
      </c>
      <c r="T398" s="9">
        <v>4</v>
      </c>
      <c r="U398" s="9">
        <v>0</v>
      </c>
      <c r="V398" s="9" t="s">
        <v>114</v>
      </c>
      <c r="W398" s="9">
        <v>0</v>
      </c>
      <c r="X398" s="9">
        <v>0</v>
      </c>
      <c r="Y398" s="9">
        <v>0</v>
      </c>
      <c r="Z398" s="9">
        <v>0</v>
      </c>
      <c r="AA398" s="9">
        <v>10</v>
      </c>
      <c r="AB398" s="9">
        <v>7</v>
      </c>
      <c r="AC398" s="9">
        <v>14</v>
      </c>
      <c r="AD398" s="9" t="s">
        <v>0</v>
      </c>
      <c r="AE398" s="9" t="s">
        <v>60</v>
      </c>
    </row>
    <row r="399" spans="1:31" ht="51" x14ac:dyDescent="0.2">
      <c r="A399" s="6" t="str">
        <f>HYPERLINK("http://www.patentics.cn/invokexml.do?sx=showpatent_cn&amp;sf=ShowPatent&amp;spn=CN101076007&amp;sx=showpatent_cn&amp;sv=50f2b286df75e0790aeacf7dc3593d67","CN101076007")</f>
        <v>CN101076007</v>
      </c>
      <c r="B399" s="7" t="s">
        <v>1909</v>
      </c>
      <c r="C399" s="7" t="s">
        <v>1910</v>
      </c>
      <c r="D399" s="7" t="s">
        <v>1097</v>
      </c>
      <c r="E399" s="7" t="s">
        <v>1097</v>
      </c>
      <c r="F399" s="7" t="s">
        <v>1911</v>
      </c>
      <c r="G399" s="7" t="s">
        <v>1912</v>
      </c>
      <c r="H399" s="7" t="s">
        <v>1913</v>
      </c>
      <c r="I399" s="7" t="s">
        <v>1913</v>
      </c>
      <c r="J399" s="7" t="s">
        <v>1914</v>
      </c>
      <c r="K399" s="7" t="s">
        <v>68</v>
      </c>
      <c r="L399" s="7" t="s">
        <v>281</v>
      </c>
      <c r="M399" s="7">
        <v>8</v>
      </c>
      <c r="N399" s="7">
        <v>46</v>
      </c>
      <c r="O399" s="7" t="s">
        <v>42</v>
      </c>
      <c r="P399" s="7" t="s">
        <v>43</v>
      </c>
      <c r="Q399" s="7">
        <v>0</v>
      </c>
      <c r="R399" s="7">
        <v>0</v>
      </c>
      <c r="S399" s="7">
        <v>0</v>
      </c>
      <c r="T399" s="7">
        <v>0</v>
      </c>
      <c r="U399" s="7">
        <v>13</v>
      </c>
      <c r="V399" s="7" t="s">
        <v>1915</v>
      </c>
      <c r="W399" s="7">
        <v>0</v>
      </c>
      <c r="X399" s="7">
        <v>13</v>
      </c>
      <c r="Y399" s="7">
        <v>5</v>
      </c>
      <c r="Z399" s="7">
        <v>3</v>
      </c>
      <c r="AA399" s="7">
        <v>1</v>
      </c>
      <c r="AB399" s="7">
        <v>1</v>
      </c>
      <c r="AC399" s="7" t="s">
        <v>0</v>
      </c>
      <c r="AD399" s="7">
        <v>4</v>
      </c>
      <c r="AE399" s="7" t="s">
        <v>532</v>
      </c>
    </row>
    <row r="400" spans="1:31" ht="102" x14ac:dyDescent="0.2">
      <c r="A400" s="8" t="str">
        <f>HYPERLINK("http://www.patentics.cn/invokexml.do?sx=showpatent_cn&amp;sf=ShowPatent&amp;spn=US8611227&amp;sx=showpatent_cn&amp;sv=3752e424dd142cf6dc56870d279e581e","US8611227")</f>
        <v>US8611227</v>
      </c>
      <c r="B400" s="9" t="s">
        <v>1916</v>
      </c>
      <c r="C400" s="9" t="s">
        <v>1917</v>
      </c>
      <c r="D400" s="9" t="s">
        <v>48</v>
      </c>
      <c r="E400" s="9" t="s">
        <v>49</v>
      </c>
      <c r="F400" s="9" t="s">
        <v>1918</v>
      </c>
      <c r="G400" s="9" t="s">
        <v>126</v>
      </c>
      <c r="H400" s="9" t="s">
        <v>1619</v>
      </c>
      <c r="I400" s="9" t="s">
        <v>1919</v>
      </c>
      <c r="J400" s="9" t="s">
        <v>112</v>
      </c>
      <c r="K400" s="9" t="s">
        <v>68</v>
      </c>
      <c r="L400" s="9" t="s">
        <v>446</v>
      </c>
      <c r="M400" s="9">
        <v>23</v>
      </c>
      <c r="N400" s="9">
        <v>14</v>
      </c>
      <c r="O400" s="9" t="s">
        <v>57</v>
      </c>
      <c r="P400" s="9" t="s">
        <v>58</v>
      </c>
      <c r="Q400" s="9">
        <v>57</v>
      </c>
      <c r="R400" s="9">
        <v>12</v>
      </c>
      <c r="S400" s="9">
        <v>45</v>
      </c>
      <c r="T400" s="9">
        <v>26</v>
      </c>
      <c r="U400" s="9">
        <v>1</v>
      </c>
      <c r="V400" s="9" t="s">
        <v>82</v>
      </c>
      <c r="W400" s="9">
        <v>1</v>
      </c>
      <c r="X400" s="9">
        <v>0</v>
      </c>
      <c r="Y400" s="9">
        <v>1</v>
      </c>
      <c r="Z400" s="9">
        <v>1</v>
      </c>
      <c r="AA400" s="9">
        <v>31</v>
      </c>
      <c r="AB400" s="9">
        <v>7</v>
      </c>
      <c r="AC400" s="9">
        <v>14</v>
      </c>
      <c r="AD400" s="9" t="s">
        <v>0</v>
      </c>
      <c r="AE400" s="9" t="s">
        <v>60</v>
      </c>
    </row>
    <row r="401" spans="1:31" ht="102" x14ac:dyDescent="0.2">
      <c r="A401" s="8" t="str">
        <f>HYPERLINK("http://www.patentics.cn/invokexml.do?sx=showpatent_cn&amp;sf=ShowPatent&amp;spn=US9049065&amp;sx=showpatent_cn&amp;sv=4922166cf04c3f700be25981a46dcef4","US9049065")</f>
        <v>US9049065</v>
      </c>
      <c r="B401" s="9" t="s">
        <v>1920</v>
      </c>
      <c r="C401" s="9" t="s">
        <v>1921</v>
      </c>
      <c r="D401" s="9" t="s">
        <v>48</v>
      </c>
      <c r="E401" s="9" t="s">
        <v>49</v>
      </c>
      <c r="F401" s="9" t="s">
        <v>1922</v>
      </c>
      <c r="G401" s="9" t="s">
        <v>1923</v>
      </c>
      <c r="H401" s="9" t="s">
        <v>1619</v>
      </c>
      <c r="I401" s="9" t="s">
        <v>1919</v>
      </c>
      <c r="J401" s="9" t="s">
        <v>1924</v>
      </c>
      <c r="K401" s="9" t="s">
        <v>55</v>
      </c>
      <c r="L401" s="9" t="s">
        <v>947</v>
      </c>
      <c r="M401" s="9">
        <v>23</v>
      </c>
      <c r="N401" s="9">
        <v>20</v>
      </c>
      <c r="O401" s="9" t="s">
        <v>57</v>
      </c>
      <c r="P401" s="9" t="s">
        <v>58</v>
      </c>
      <c r="Q401" s="9">
        <v>63</v>
      </c>
      <c r="R401" s="9">
        <v>13</v>
      </c>
      <c r="S401" s="9">
        <v>50</v>
      </c>
      <c r="T401" s="9">
        <v>28</v>
      </c>
      <c r="U401" s="9">
        <v>0</v>
      </c>
      <c r="V401" s="9" t="s">
        <v>114</v>
      </c>
      <c r="W401" s="9">
        <v>0</v>
      </c>
      <c r="X401" s="9">
        <v>0</v>
      </c>
      <c r="Y401" s="9">
        <v>0</v>
      </c>
      <c r="Z401" s="9">
        <v>0</v>
      </c>
      <c r="AA401" s="9">
        <v>31</v>
      </c>
      <c r="AB401" s="9">
        <v>7</v>
      </c>
      <c r="AC401" s="9">
        <v>14</v>
      </c>
      <c r="AD401" s="9" t="s">
        <v>0</v>
      </c>
      <c r="AE401" s="9" t="s">
        <v>60</v>
      </c>
    </row>
    <row r="402" spans="1:31" ht="114.75" x14ac:dyDescent="0.2">
      <c r="A402" s="8" t="str">
        <f>HYPERLINK("http://www.patentics.cn/invokexml.do?sx=showpatent_cn&amp;sf=ShowPatent&amp;spn=WO2010132475A3&amp;sx=showpatent_cn&amp;sv=b5c86f7aa56d0ee5a23e2f1e182c598e","WO2010132475A3")</f>
        <v>WO2010132475A3</v>
      </c>
      <c r="B402" s="9" t="s">
        <v>1925</v>
      </c>
      <c r="C402" s="9" t="s">
        <v>1926</v>
      </c>
      <c r="D402" s="9" t="s">
        <v>1927</v>
      </c>
      <c r="E402" s="9" t="s">
        <v>1928</v>
      </c>
      <c r="F402" s="9" t="s">
        <v>1929</v>
      </c>
      <c r="G402" s="9" t="s">
        <v>1930</v>
      </c>
      <c r="H402" s="9" t="s">
        <v>1619</v>
      </c>
      <c r="I402" s="9" t="s">
        <v>1619</v>
      </c>
      <c r="J402" s="9" t="s">
        <v>1931</v>
      </c>
      <c r="K402" s="9" t="s">
        <v>68</v>
      </c>
      <c r="L402" s="9" t="s">
        <v>428</v>
      </c>
      <c r="M402" s="9">
        <v>0</v>
      </c>
      <c r="N402" s="9">
        <v>0</v>
      </c>
      <c r="O402" s="9" t="s">
        <v>850</v>
      </c>
      <c r="P402" s="9" t="s">
        <v>1932</v>
      </c>
      <c r="Q402" s="9">
        <v>4</v>
      </c>
      <c r="R402" s="9">
        <v>0</v>
      </c>
      <c r="S402" s="9">
        <v>4</v>
      </c>
      <c r="T402" s="9">
        <v>4</v>
      </c>
      <c r="U402" s="9">
        <v>0</v>
      </c>
      <c r="V402" s="9" t="s">
        <v>114</v>
      </c>
      <c r="W402" s="9">
        <v>0</v>
      </c>
      <c r="X402" s="9">
        <v>0</v>
      </c>
      <c r="Y402" s="9">
        <v>0</v>
      </c>
      <c r="Z402" s="9">
        <v>0</v>
      </c>
      <c r="AA402" s="9">
        <v>0</v>
      </c>
      <c r="AB402" s="9">
        <v>0</v>
      </c>
      <c r="AC402" s="9">
        <v>14</v>
      </c>
      <c r="AD402" s="9" t="s">
        <v>0</v>
      </c>
      <c r="AE402" s="9" t="s">
        <v>0</v>
      </c>
    </row>
    <row r="403" spans="1:31" ht="178.5" x14ac:dyDescent="0.2">
      <c r="A403" s="8" t="str">
        <f>HYPERLINK("http://www.patentics.cn/invokexml.do?sx=showpatent_cn&amp;sf=ShowPatent&amp;spn=WO2010132483A3&amp;sx=showpatent_cn&amp;sv=f144c7698ad6a8103da4c427f44636af","WO2010132483A3")</f>
        <v>WO2010132483A3</v>
      </c>
      <c r="B403" s="9" t="s">
        <v>1933</v>
      </c>
      <c r="C403" s="9" t="s">
        <v>1934</v>
      </c>
      <c r="D403" s="9" t="s">
        <v>1935</v>
      </c>
      <c r="E403" s="9" t="s">
        <v>1936</v>
      </c>
      <c r="F403" s="9" t="s">
        <v>1937</v>
      </c>
      <c r="G403" s="9" t="s">
        <v>1938</v>
      </c>
      <c r="H403" s="9" t="s">
        <v>1619</v>
      </c>
      <c r="I403" s="9" t="s">
        <v>1619</v>
      </c>
      <c r="J403" s="9" t="s">
        <v>1939</v>
      </c>
      <c r="K403" s="9" t="s">
        <v>68</v>
      </c>
      <c r="L403" s="9" t="s">
        <v>428</v>
      </c>
      <c r="M403" s="9">
        <v>0</v>
      </c>
      <c r="N403" s="9">
        <v>0</v>
      </c>
      <c r="O403" s="9" t="s">
        <v>850</v>
      </c>
      <c r="P403" s="9" t="s">
        <v>58</v>
      </c>
      <c r="Q403" s="9">
        <v>8</v>
      </c>
      <c r="R403" s="9">
        <v>3</v>
      </c>
      <c r="S403" s="9">
        <v>5</v>
      </c>
      <c r="T403" s="9">
        <v>6</v>
      </c>
      <c r="U403" s="9">
        <v>0</v>
      </c>
      <c r="V403" s="9" t="s">
        <v>114</v>
      </c>
      <c r="W403" s="9">
        <v>0</v>
      </c>
      <c r="X403" s="9">
        <v>0</v>
      </c>
      <c r="Y403" s="9">
        <v>0</v>
      </c>
      <c r="Z403" s="9">
        <v>0</v>
      </c>
      <c r="AA403" s="9">
        <v>31</v>
      </c>
      <c r="AB403" s="9">
        <v>7</v>
      </c>
      <c r="AC403" s="9">
        <v>14</v>
      </c>
      <c r="AD403" s="9" t="s">
        <v>0</v>
      </c>
      <c r="AE403" s="9" t="s">
        <v>0</v>
      </c>
    </row>
    <row r="404" spans="1:31" ht="25.5" x14ac:dyDescent="0.2">
      <c r="A404" s="6" t="str">
        <f>HYPERLINK("http://www.patentics.cn/invokexml.do?sx=showpatent_cn&amp;sf=ShowPatent&amp;spn=CN101051998&amp;sx=showpatent_cn&amp;sv=b1323a0181fb6d8af823017253fc812f","CN101051998")</f>
        <v>CN101051998</v>
      </c>
      <c r="B404" s="7" t="s">
        <v>1940</v>
      </c>
      <c r="C404" s="7" t="s">
        <v>1941</v>
      </c>
      <c r="D404" s="7" t="s">
        <v>1942</v>
      </c>
      <c r="E404" s="7" t="s">
        <v>1942</v>
      </c>
      <c r="F404" s="7" t="s">
        <v>1943</v>
      </c>
      <c r="G404" s="7" t="s">
        <v>1943</v>
      </c>
      <c r="H404" s="7" t="s">
        <v>1944</v>
      </c>
      <c r="I404" s="7" t="s">
        <v>1944</v>
      </c>
      <c r="J404" s="7" t="s">
        <v>1945</v>
      </c>
      <c r="K404" s="7" t="s">
        <v>68</v>
      </c>
      <c r="L404" s="7" t="s">
        <v>1946</v>
      </c>
      <c r="M404" s="7">
        <v>4</v>
      </c>
      <c r="N404" s="7">
        <v>29</v>
      </c>
      <c r="O404" s="7" t="s">
        <v>42</v>
      </c>
      <c r="P404" s="7" t="s">
        <v>43</v>
      </c>
      <c r="Q404" s="7">
        <v>0</v>
      </c>
      <c r="R404" s="7">
        <v>0</v>
      </c>
      <c r="S404" s="7">
        <v>0</v>
      </c>
      <c r="T404" s="7">
        <v>0</v>
      </c>
      <c r="U404" s="7">
        <v>17</v>
      </c>
      <c r="V404" s="7" t="s">
        <v>1947</v>
      </c>
      <c r="W404" s="7">
        <v>12</v>
      </c>
      <c r="X404" s="7">
        <v>5</v>
      </c>
      <c r="Y404" s="7">
        <v>3</v>
      </c>
      <c r="Z404" s="7">
        <v>3</v>
      </c>
      <c r="AA404" s="7">
        <v>1</v>
      </c>
      <c r="AB404" s="7">
        <v>1</v>
      </c>
      <c r="AC404" s="7" t="s">
        <v>0</v>
      </c>
      <c r="AD404" s="7">
        <v>4</v>
      </c>
      <c r="AE404" s="7" t="s">
        <v>532</v>
      </c>
    </row>
    <row r="405" spans="1:31" ht="51" x14ac:dyDescent="0.2">
      <c r="A405" s="8" t="str">
        <f>HYPERLINK("http://www.patentics.cn/invokexml.do?sx=showpatent_cn&amp;sf=ShowPatent&amp;spn=US8725145&amp;sx=showpatent_cn&amp;sv=0ea20d8c0af62a0fe3de1c6d6e46f0a5","US8725145")</f>
        <v>US8725145</v>
      </c>
      <c r="B405" s="9" t="s">
        <v>1948</v>
      </c>
      <c r="C405" s="9" t="s">
        <v>1949</v>
      </c>
      <c r="D405" s="9" t="s">
        <v>117</v>
      </c>
      <c r="E405" s="9" t="s">
        <v>49</v>
      </c>
      <c r="F405" s="9" t="s">
        <v>1950</v>
      </c>
      <c r="G405" s="9" t="s">
        <v>1951</v>
      </c>
      <c r="H405" s="9" t="s">
        <v>1737</v>
      </c>
      <c r="I405" s="9" t="s">
        <v>1952</v>
      </c>
      <c r="J405" s="9" t="s">
        <v>1953</v>
      </c>
      <c r="K405" s="9" t="s">
        <v>55</v>
      </c>
      <c r="L405" s="9" t="s">
        <v>1954</v>
      </c>
      <c r="M405" s="9">
        <v>32</v>
      </c>
      <c r="N405" s="9">
        <v>8</v>
      </c>
      <c r="O405" s="9" t="s">
        <v>57</v>
      </c>
      <c r="P405" s="9" t="s">
        <v>58</v>
      </c>
      <c r="Q405" s="9">
        <v>33</v>
      </c>
      <c r="R405" s="9">
        <v>8</v>
      </c>
      <c r="S405" s="9">
        <v>25</v>
      </c>
      <c r="T405" s="9">
        <v>17</v>
      </c>
      <c r="U405" s="9">
        <v>1</v>
      </c>
      <c r="V405" s="9" t="s">
        <v>515</v>
      </c>
      <c r="W405" s="9">
        <v>0</v>
      </c>
      <c r="X405" s="9">
        <v>1</v>
      </c>
      <c r="Y405" s="9">
        <v>1</v>
      </c>
      <c r="Z405" s="9">
        <v>1</v>
      </c>
      <c r="AA405" s="9">
        <v>6</v>
      </c>
      <c r="AB405" s="9">
        <v>6</v>
      </c>
      <c r="AC405" s="9">
        <v>14</v>
      </c>
      <c r="AD405" s="9" t="s">
        <v>0</v>
      </c>
      <c r="AE405" s="9" t="s">
        <v>60</v>
      </c>
    </row>
    <row r="406" spans="1:31" ht="38.25" x14ac:dyDescent="0.2">
      <c r="A406" s="8" t="str">
        <f>HYPERLINK("http://www.patentics.cn/invokexml.do?sx=showpatent_cn&amp;sf=ShowPatent&amp;spn=US9179329&amp;sx=showpatent_cn&amp;sv=71a6d2e8e896970e17a9e0fc56ce0522","US9179329")</f>
        <v>US9179329</v>
      </c>
      <c r="B406" s="9" t="s">
        <v>1955</v>
      </c>
      <c r="C406" s="9" t="s">
        <v>1956</v>
      </c>
      <c r="D406" s="9" t="s">
        <v>48</v>
      </c>
      <c r="E406" s="9" t="s">
        <v>49</v>
      </c>
      <c r="F406" s="9" t="s">
        <v>1957</v>
      </c>
      <c r="G406" s="9" t="s">
        <v>1958</v>
      </c>
      <c r="H406" s="9" t="s">
        <v>1959</v>
      </c>
      <c r="I406" s="9" t="s">
        <v>1960</v>
      </c>
      <c r="J406" s="9" t="s">
        <v>228</v>
      </c>
      <c r="K406" s="9" t="s">
        <v>89</v>
      </c>
      <c r="L406" s="9" t="s">
        <v>1961</v>
      </c>
      <c r="M406" s="9">
        <v>59</v>
      </c>
      <c r="N406" s="9">
        <v>23</v>
      </c>
      <c r="O406" s="9" t="s">
        <v>57</v>
      </c>
      <c r="P406" s="9" t="s">
        <v>43</v>
      </c>
      <c r="Q406" s="9">
        <v>56</v>
      </c>
      <c r="R406" s="9">
        <v>9</v>
      </c>
      <c r="S406" s="9">
        <v>47</v>
      </c>
      <c r="T406" s="9">
        <v>25</v>
      </c>
      <c r="U406" s="9">
        <v>0</v>
      </c>
      <c r="V406" s="9" t="s">
        <v>114</v>
      </c>
      <c r="W406" s="9">
        <v>0</v>
      </c>
      <c r="X406" s="9">
        <v>0</v>
      </c>
      <c r="Y406" s="9">
        <v>0</v>
      </c>
      <c r="Z406" s="9">
        <v>0</v>
      </c>
      <c r="AA406" s="9">
        <v>25</v>
      </c>
      <c r="AB406" s="9">
        <v>6</v>
      </c>
      <c r="AC406" s="9">
        <v>14</v>
      </c>
      <c r="AD406" s="9" t="s">
        <v>0</v>
      </c>
      <c r="AE406" s="9" t="s">
        <v>60</v>
      </c>
    </row>
    <row r="407" spans="1:31" ht="51" x14ac:dyDescent="0.2">
      <c r="A407" s="8" t="str">
        <f>HYPERLINK("http://www.patentics.cn/invokexml.do?sx=showpatent_cn&amp;sf=ShowPatent&amp;spn=US9264916&amp;sx=showpatent_cn&amp;sv=59e58d3d8478cbadb5c389c78f8eb69d","US9264916")</f>
        <v>US9264916</v>
      </c>
      <c r="B407" s="9" t="s">
        <v>1962</v>
      </c>
      <c r="C407" s="9" t="s">
        <v>1963</v>
      </c>
      <c r="D407" s="9" t="s">
        <v>48</v>
      </c>
      <c r="E407" s="9" t="s">
        <v>49</v>
      </c>
      <c r="F407" s="9" t="s">
        <v>1957</v>
      </c>
      <c r="G407" s="9" t="s">
        <v>1958</v>
      </c>
      <c r="H407" s="9" t="s">
        <v>1959</v>
      </c>
      <c r="I407" s="9" t="s">
        <v>1964</v>
      </c>
      <c r="J407" s="9" t="s">
        <v>768</v>
      </c>
      <c r="K407" s="9" t="s">
        <v>55</v>
      </c>
      <c r="L407" s="9" t="s">
        <v>1965</v>
      </c>
      <c r="M407" s="9">
        <v>34</v>
      </c>
      <c r="N407" s="9">
        <v>17</v>
      </c>
      <c r="O407" s="9" t="s">
        <v>57</v>
      </c>
      <c r="P407" s="9" t="s">
        <v>43</v>
      </c>
      <c r="Q407" s="9">
        <v>56</v>
      </c>
      <c r="R407" s="9">
        <v>9</v>
      </c>
      <c r="S407" s="9">
        <v>47</v>
      </c>
      <c r="T407" s="9">
        <v>25</v>
      </c>
      <c r="U407" s="9">
        <v>0</v>
      </c>
      <c r="V407" s="9" t="s">
        <v>114</v>
      </c>
      <c r="W407" s="9">
        <v>0</v>
      </c>
      <c r="X407" s="9">
        <v>0</v>
      </c>
      <c r="Y407" s="9">
        <v>0</v>
      </c>
      <c r="Z407" s="9">
        <v>0</v>
      </c>
      <c r="AA407" s="9">
        <v>25</v>
      </c>
      <c r="AB407" s="9">
        <v>6</v>
      </c>
      <c r="AC407" s="9">
        <v>14</v>
      </c>
      <c r="AD407" s="9" t="s">
        <v>0</v>
      </c>
      <c r="AE407" s="9" t="s">
        <v>60</v>
      </c>
    </row>
    <row r="408" spans="1:31" ht="51" x14ac:dyDescent="0.2">
      <c r="A408" s="8" t="str">
        <f>HYPERLINK("http://www.patentics.cn/invokexml.do?sx=showpatent_cn&amp;sf=ShowPatent&amp;spn=WO2011113317&amp;sx=showpatent_cn&amp;sv=20b60f8844aed7594952d8928917ad07","WO2011113317")</f>
        <v>WO2011113317</v>
      </c>
      <c r="B408" s="9" t="s">
        <v>1966</v>
      </c>
      <c r="C408" s="9" t="s">
        <v>1963</v>
      </c>
      <c r="D408" s="9" t="s">
        <v>117</v>
      </c>
      <c r="E408" s="9" t="s">
        <v>49</v>
      </c>
      <c r="F408" s="9" t="s">
        <v>1967</v>
      </c>
      <c r="G408" s="9" t="s">
        <v>1968</v>
      </c>
      <c r="H408" s="9" t="s">
        <v>1959</v>
      </c>
      <c r="I408" s="9" t="s">
        <v>1964</v>
      </c>
      <c r="J408" s="9" t="s">
        <v>1969</v>
      </c>
      <c r="K408" s="9" t="s">
        <v>55</v>
      </c>
      <c r="L408" s="9" t="s">
        <v>1970</v>
      </c>
      <c r="M408" s="9">
        <v>36</v>
      </c>
      <c r="N408" s="9">
        <v>11</v>
      </c>
      <c r="O408" s="9" t="s">
        <v>850</v>
      </c>
      <c r="P408" s="9" t="s">
        <v>43</v>
      </c>
      <c r="Q408" s="9">
        <v>4</v>
      </c>
      <c r="R408" s="9">
        <v>0</v>
      </c>
      <c r="S408" s="9">
        <v>4</v>
      </c>
      <c r="T408" s="9">
        <v>3</v>
      </c>
      <c r="U408" s="9">
        <v>11</v>
      </c>
      <c r="V408" s="9" t="s">
        <v>1971</v>
      </c>
      <c r="W408" s="9">
        <v>2</v>
      </c>
      <c r="X408" s="9">
        <v>9</v>
      </c>
      <c r="Y408" s="9">
        <v>3</v>
      </c>
      <c r="Z408" s="9">
        <v>2</v>
      </c>
      <c r="AA408" s="9">
        <v>25</v>
      </c>
      <c r="AB408" s="9">
        <v>6</v>
      </c>
      <c r="AC408" s="9">
        <v>14</v>
      </c>
      <c r="AD408" s="9" t="s">
        <v>0</v>
      </c>
      <c r="AE408" s="9" t="s">
        <v>0</v>
      </c>
    </row>
    <row r="409" spans="1:31" ht="51" x14ac:dyDescent="0.2">
      <c r="A409" s="6" t="str">
        <f>HYPERLINK("http://www.patentics.cn/invokexml.do?sx=showpatent_cn&amp;sf=ShowPatent&amp;spn=CN101014209&amp;sx=showpatent_cn&amp;sv=a85e0273e68e66acf5b373938a6f0373","CN101014209")</f>
        <v>CN101014209</v>
      </c>
      <c r="B409" s="7" t="s">
        <v>1972</v>
      </c>
      <c r="C409" s="7" t="s">
        <v>1973</v>
      </c>
      <c r="D409" s="7" t="s">
        <v>35</v>
      </c>
      <c r="E409" s="7" t="s">
        <v>35</v>
      </c>
      <c r="F409" s="7" t="s">
        <v>1974</v>
      </c>
      <c r="G409" s="7" t="s">
        <v>1975</v>
      </c>
      <c r="H409" s="7" t="s">
        <v>1976</v>
      </c>
      <c r="I409" s="7" t="s">
        <v>1976</v>
      </c>
      <c r="J409" s="7" t="s">
        <v>1977</v>
      </c>
      <c r="K409" s="7" t="s">
        <v>1464</v>
      </c>
      <c r="L409" s="7" t="s">
        <v>1978</v>
      </c>
      <c r="M409" s="7">
        <v>7</v>
      </c>
      <c r="N409" s="7">
        <v>56</v>
      </c>
      <c r="O409" s="7" t="s">
        <v>42</v>
      </c>
      <c r="P409" s="7" t="s">
        <v>43</v>
      </c>
      <c r="Q409" s="7">
        <v>0</v>
      </c>
      <c r="R409" s="7">
        <v>0</v>
      </c>
      <c r="S409" s="7">
        <v>0</v>
      </c>
      <c r="T409" s="7">
        <v>0</v>
      </c>
      <c r="U409" s="7">
        <v>8</v>
      </c>
      <c r="V409" s="7" t="s">
        <v>1979</v>
      </c>
      <c r="W409" s="7">
        <v>0</v>
      </c>
      <c r="X409" s="7">
        <v>8</v>
      </c>
      <c r="Y409" s="7">
        <v>5</v>
      </c>
      <c r="Z409" s="7">
        <v>2</v>
      </c>
      <c r="AA409" s="7">
        <v>1</v>
      </c>
      <c r="AB409" s="7">
        <v>1</v>
      </c>
      <c r="AC409" s="7" t="s">
        <v>0</v>
      </c>
      <c r="AD409" s="7">
        <v>4</v>
      </c>
      <c r="AE409" s="7" t="s">
        <v>60</v>
      </c>
    </row>
    <row r="410" spans="1:31" ht="76.5" x14ac:dyDescent="0.2">
      <c r="A410" s="8" t="str">
        <f>HYPERLINK("http://www.patentics.cn/invokexml.do?sx=showpatent_cn&amp;sf=ShowPatent&amp;spn=US8717211&amp;sx=showpatent_cn&amp;sv=05b8867cfdb967647b2edd6932d05ea1","US8717211")</f>
        <v>US8717211</v>
      </c>
      <c r="B410" s="9" t="s">
        <v>1980</v>
      </c>
      <c r="C410" s="9" t="s">
        <v>1981</v>
      </c>
      <c r="D410" s="9" t="s">
        <v>48</v>
      </c>
      <c r="E410" s="9" t="s">
        <v>49</v>
      </c>
      <c r="F410" s="9" t="s">
        <v>1982</v>
      </c>
      <c r="G410" s="9" t="s">
        <v>1983</v>
      </c>
      <c r="H410" s="9" t="s">
        <v>1984</v>
      </c>
      <c r="I410" s="9" t="s">
        <v>1985</v>
      </c>
      <c r="J410" s="9" t="s">
        <v>1986</v>
      </c>
      <c r="K410" s="9" t="s">
        <v>1529</v>
      </c>
      <c r="L410" s="9" t="s">
        <v>1987</v>
      </c>
      <c r="M410" s="9">
        <v>32</v>
      </c>
      <c r="N410" s="9">
        <v>19</v>
      </c>
      <c r="O410" s="9" t="s">
        <v>57</v>
      </c>
      <c r="P410" s="9" t="s">
        <v>58</v>
      </c>
      <c r="Q410" s="9">
        <v>89</v>
      </c>
      <c r="R410" s="9">
        <v>3</v>
      </c>
      <c r="S410" s="9">
        <v>86</v>
      </c>
      <c r="T410" s="9">
        <v>46</v>
      </c>
      <c r="U410" s="9">
        <v>12</v>
      </c>
      <c r="V410" s="9" t="s">
        <v>1236</v>
      </c>
      <c r="W410" s="9">
        <v>0</v>
      </c>
      <c r="X410" s="9">
        <v>12</v>
      </c>
      <c r="Y410" s="9">
        <v>1</v>
      </c>
      <c r="Z410" s="9">
        <v>1</v>
      </c>
      <c r="AA410" s="9">
        <v>2</v>
      </c>
      <c r="AB410" s="9">
        <v>2</v>
      </c>
      <c r="AC410" s="9">
        <v>14</v>
      </c>
      <c r="AD410" s="9" t="s">
        <v>0</v>
      </c>
      <c r="AE410" s="9" t="s">
        <v>60</v>
      </c>
    </row>
    <row r="411" spans="1:31" ht="242.25" x14ac:dyDescent="0.2">
      <c r="A411" s="8" t="str">
        <f>HYPERLINK("http://www.patentics.cn/invokexml.do?sx=showpatent_cn&amp;sf=ShowPatent&amp;spn=US9425747&amp;sx=showpatent_cn&amp;sv=ed5a1946f914ce1470149e20e9e0b6e1","US9425747")</f>
        <v>US9425747</v>
      </c>
      <c r="B411" s="9" t="s">
        <v>1988</v>
      </c>
      <c r="C411" s="9" t="s">
        <v>1989</v>
      </c>
      <c r="D411" s="9" t="s">
        <v>48</v>
      </c>
      <c r="E411" s="9" t="s">
        <v>49</v>
      </c>
      <c r="F411" s="9" t="s">
        <v>1990</v>
      </c>
      <c r="G411" s="9" t="s">
        <v>1991</v>
      </c>
      <c r="H411" s="9" t="s">
        <v>1992</v>
      </c>
      <c r="I411" s="9" t="s">
        <v>1992</v>
      </c>
      <c r="J411" s="9" t="s">
        <v>280</v>
      </c>
      <c r="K411" s="9" t="s">
        <v>1993</v>
      </c>
      <c r="L411" s="9" t="s">
        <v>1994</v>
      </c>
      <c r="M411" s="9">
        <v>47</v>
      </c>
      <c r="N411" s="9">
        <v>13</v>
      </c>
      <c r="O411" s="9" t="s">
        <v>57</v>
      </c>
      <c r="P411" s="9" t="s">
        <v>58</v>
      </c>
      <c r="Q411" s="9">
        <v>105</v>
      </c>
      <c r="R411" s="9">
        <v>3</v>
      </c>
      <c r="S411" s="9">
        <v>102</v>
      </c>
      <c r="T411" s="9">
        <v>50</v>
      </c>
      <c r="U411" s="9">
        <v>0</v>
      </c>
      <c r="V411" s="9" t="s">
        <v>114</v>
      </c>
      <c r="W411" s="9">
        <v>0</v>
      </c>
      <c r="X411" s="9">
        <v>0</v>
      </c>
      <c r="Y411" s="9">
        <v>0</v>
      </c>
      <c r="Z411" s="9">
        <v>0</v>
      </c>
      <c r="AA411" s="9">
        <v>17</v>
      </c>
      <c r="AB411" s="9">
        <v>7</v>
      </c>
      <c r="AC411" s="9">
        <v>14</v>
      </c>
      <c r="AD411" s="9" t="s">
        <v>0</v>
      </c>
      <c r="AE411" s="9" t="s">
        <v>60</v>
      </c>
    </row>
    <row r="412" spans="1:31" ht="51" x14ac:dyDescent="0.2">
      <c r="A412" s="8" t="str">
        <f>HYPERLINK("http://www.patentics.cn/invokexml.do?sx=showpatent_cn&amp;sf=ShowPatent&amp;spn=CN102356544B&amp;sx=showpatent_cn&amp;sv=8b690c2f4a8cb0a90c5e9f3ac7f847dc","CN102356544B")</f>
        <v>CN102356544B</v>
      </c>
      <c r="B412" s="9" t="s">
        <v>1995</v>
      </c>
      <c r="C412" s="9" t="s">
        <v>1996</v>
      </c>
      <c r="D412" s="9" t="s">
        <v>301</v>
      </c>
      <c r="E412" s="9" t="s">
        <v>301</v>
      </c>
      <c r="F412" s="9" t="s">
        <v>1997</v>
      </c>
      <c r="G412" s="9" t="s">
        <v>1998</v>
      </c>
      <c r="H412" s="9" t="s">
        <v>1999</v>
      </c>
      <c r="I412" s="9" t="s">
        <v>2000</v>
      </c>
      <c r="J412" s="9" t="s">
        <v>427</v>
      </c>
      <c r="K412" s="9" t="s">
        <v>1993</v>
      </c>
      <c r="L412" s="9" t="s">
        <v>2001</v>
      </c>
      <c r="M412" s="9">
        <v>18</v>
      </c>
      <c r="N412" s="9">
        <v>11</v>
      </c>
      <c r="O412" s="9" t="s">
        <v>57</v>
      </c>
      <c r="P412" s="9" t="s">
        <v>58</v>
      </c>
      <c r="Q412" s="9">
        <v>3</v>
      </c>
      <c r="R412" s="9">
        <v>0</v>
      </c>
      <c r="S412" s="9">
        <v>3</v>
      </c>
      <c r="T412" s="9">
        <v>3</v>
      </c>
      <c r="U412" s="9">
        <v>0</v>
      </c>
      <c r="V412" s="9" t="s">
        <v>114</v>
      </c>
      <c r="W412" s="9">
        <v>0</v>
      </c>
      <c r="X412" s="9">
        <v>0</v>
      </c>
      <c r="Y412" s="9">
        <v>0</v>
      </c>
      <c r="Z412" s="9">
        <v>0</v>
      </c>
      <c r="AA412" s="9">
        <v>11</v>
      </c>
      <c r="AB412" s="9">
        <v>7</v>
      </c>
      <c r="AC412" s="9">
        <v>14</v>
      </c>
      <c r="AD412" s="9" t="s">
        <v>0</v>
      </c>
      <c r="AE412" s="9" t="s">
        <v>60</v>
      </c>
    </row>
    <row r="413" spans="1:31" ht="51" x14ac:dyDescent="0.2">
      <c r="A413" s="8" t="str">
        <f>HYPERLINK("http://www.patentics.cn/invokexml.do?sx=showpatent_cn&amp;sf=ShowPatent&amp;spn=CN102356544&amp;sx=showpatent_cn&amp;sv=24f8e2bb83057b1787cd79c84d550224","CN102356544")</f>
        <v>CN102356544</v>
      </c>
      <c r="B413" s="9" t="s">
        <v>1995</v>
      </c>
      <c r="C413" s="9" t="s">
        <v>1996</v>
      </c>
      <c r="D413" s="9" t="s">
        <v>301</v>
      </c>
      <c r="E413" s="9" t="s">
        <v>301</v>
      </c>
      <c r="F413" s="9" t="s">
        <v>1997</v>
      </c>
      <c r="G413" s="9" t="s">
        <v>1998</v>
      </c>
      <c r="H413" s="9" t="s">
        <v>1999</v>
      </c>
      <c r="I413" s="9" t="s">
        <v>2000</v>
      </c>
      <c r="J413" s="9" t="s">
        <v>2002</v>
      </c>
      <c r="K413" s="9" t="s">
        <v>1993</v>
      </c>
      <c r="L413" s="9" t="s">
        <v>2001</v>
      </c>
      <c r="M413" s="9">
        <v>23</v>
      </c>
      <c r="N413" s="9">
        <v>11</v>
      </c>
      <c r="O413" s="9" t="s">
        <v>42</v>
      </c>
      <c r="P413" s="9" t="s">
        <v>58</v>
      </c>
      <c r="Q413" s="9">
        <v>3</v>
      </c>
      <c r="R413" s="9">
        <v>0</v>
      </c>
      <c r="S413" s="9">
        <v>3</v>
      </c>
      <c r="T413" s="9">
        <v>3</v>
      </c>
      <c r="U413" s="9">
        <v>2</v>
      </c>
      <c r="V413" s="9" t="s">
        <v>2003</v>
      </c>
      <c r="W413" s="9">
        <v>0</v>
      </c>
      <c r="X413" s="9">
        <v>2</v>
      </c>
      <c r="Y413" s="9">
        <v>2</v>
      </c>
      <c r="Z413" s="9">
        <v>2</v>
      </c>
      <c r="AA413" s="9">
        <v>11</v>
      </c>
      <c r="AB413" s="9">
        <v>7</v>
      </c>
      <c r="AC413" s="9">
        <v>14</v>
      </c>
      <c r="AD413" s="9" t="s">
        <v>0</v>
      </c>
      <c r="AE413" s="9" t="s">
        <v>60</v>
      </c>
    </row>
    <row r="414" spans="1:31" ht="25.5" x14ac:dyDescent="0.2">
      <c r="A414" s="6" t="str">
        <f>HYPERLINK("http://www.patentics.cn/invokexml.do?sx=showpatent_cn&amp;sf=ShowPatent&amp;spn=CN1949680&amp;sx=showpatent_cn&amp;sv=f52f107afdb019c72fc9d48755ea05da","CN1949680")</f>
        <v>CN1949680</v>
      </c>
      <c r="B414" s="7" t="s">
        <v>2004</v>
      </c>
      <c r="C414" s="7" t="s">
        <v>2005</v>
      </c>
      <c r="D414" s="7" t="s">
        <v>1225</v>
      </c>
      <c r="E414" s="7" t="s">
        <v>1225</v>
      </c>
      <c r="F414" s="7" t="s">
        <v>2006</v>
      </c>
      <c r="G414" s="7" t="s">
        <v>2007</v>
      </c>
      <c r="H414" s="7" t="s">
        <v>1378</v>
      </c>
      <c r="I414" s="7" t="s">
        <v>1378</v>
      </c>
      <c r="J414" s="7" t="s">
        <v>1229</v>
      </c>
      <c r="K414" s="7" t="s">
        <v>89</v>
      </c>
      <c r="L414" s="7" t="s">
        <v>2008</v>
      </c>
      <c r="M414" s="7">
        <v>6</v>
      </c>
      <c r="N414" s="7">
        <v>16</v>
      </c>
      <c r="O414" s="7" t="s">
        <v>42</v>
      </c>
      <c r="P414" s="7" t="s">
        <v>43</v>
      </c>
      <c r="Q414" s="7">
        <v>0</v>
      </c>
      <c r="R414" s="7">
        <v>0</v>
      </c>
      <c r="S414" s="7">
        <v>0</v>
      </c>
      <c r="T414" s="7">
        <v>0</v>
      </c>
      <c r="U414" s="7">
        <v>8</v>
      </c>
      <c r="V414" s="7" t="s">
        <v>2009</v>
      </c>
      <c r="W414" s="7">
        <v>0</v>
      </c>
      <c r="X414" s="7">
        <v>8</v>
      </c>
      <c r="Y414" s="7">
        <v>4</v>
      </c>
      <c r="Z414" s="7">
        <v>2</v>
      </c>
      <c r="AA414" s="7">
        <v>1</v>
      </c>
      <c r="AB414" s="7">
        <v>1</v>
      </c>
      <c r="AC414" s="7" t="s">
        <v>0</v>
      </c>
      <c r="AD414" s="7">
        <v>4</v>
      </c>
      <c r="AE414" s="7" t="s">
        <v>532</v>
      </c>
    </row>
    <row r="415" spans="1:31" ht="102" x14ac:dyDescent="0.2">
      <c r="A415" s="8" t="str">
        <f>HYPERLINK("http://www.patentics.cn/invokexml.do?sx=showpatent_cn&amp;sf=ShowPatent&amp;spn=US8553790&amp;sx=showpatent_cn&amp;sv=fe37c1ec79b936b541ae68253a43ec43","US8553790")</f>
        <v>US8553790</v>
      </c>
      <c r="B415" s="9" t="s">
        <v>2010</v>
      </c>
      <c r="C415" s="9" t="s">
        <v>2011</v>
      </c>
      <c r="D415" s="9" t="s">
        <v>48</v>
      </c>
      <c r="E415" s="9" t="s">
        <v>49</v>
      </c>
      <c r="F415" s="9" t="s">
        <v>2012</v>
      </c>
      <c r="G415" s="9" t="s">
        <v>2013</v>
      </c>
      <c r="H415" s="9" t="s">
        <v>2014</v>
      </c>
      <c r="I415" s="9" t="s">
        <v>2015</v>
      </c>
      <c r="J415" s="9" t="s">
        <v>2016</v>
      </c>
      <c r="K415" s="9" t="s">
        <v>286</v>
      </c>
      <c r="L415" s="9" t="s">
        <v>287</v>
      </c>
      <c r="M415" s="9">
        <v>29</v>
      </c>
      <c r="N415" s="9">
        <v>12</v>
      </c>
      <c r="O415" s="9" t="s">
        <v>57</v>
      </c>
      <c r="P415" s="9" t="s">
        <v>58</v>
      </c>
      <c r="Q415" s="9">
        <v>15</v>
      </c>
      <c r="R415" s="9">
        <v>3</v>
      </c>
      <c r="S415" s="9">
        <v>12</v>
      </c>
      <c r="T415" s="9">
        <v>10</v>
      </c>
      <c r="U415" s="9">
        <v>2</v>
      </c>
      <c r="V415" s="9" t="s">
        <v>2017</v>
      </c>
      <c r="W415" s="9">
        <v>2</v>
      </c>
      <c r="X415" s="9">
        <v>0</v>
      </c>
      <c r="Y415" s="9">
        <v>1</v>
      </c>
      <c r="Z415" s="9">
        <v>1</v>
      </c>
      <c r="AA415" s="9">
        <v>15</v>
      </c>
      <c r="AB415" s="9">
        <v>7</v>
      </c>
      <c r="AC415" s="9">
        <v>14</v>
      </c>
      <c r="AD415" s="9" t="s">
        <v>0</v>
      </c>
      <c r="AE415" s="9" t="s">
        <v>60</v>
      </c>
    </row>
    <row r="416" spans="1:31" ht="102" x14ac:dyDescent="0.2">
      <c r="A416" s="8" t="str">
        <f>HYPERLINK("http://www.patentics.cn/invokexml.do?sx=showpatent_cn&amp;sf=ShowPatent&amp;spn=US9281861&amp;sx=showpatent_cn&amp;sv=e76da16f31bf58b757b85cdeb0e5f00c","US9281861")</f>
        <v>US9281861</v>
      </c>
      <c r="B416" s="9" t="s">
        <v>2018</v>
      </c>
      <c r="C416" s="9" t="s">
        <v>2011</v>
      </c>
      <c r="D416" s="9" t="s">
        <v>48</v>
      </c>
      <c r="E416" s="9" t="s">
        <v>49</v>
      </c>
      <c r="F416" s="9" t="s">
        <v>2012</v>
      </c>
      <c r="G416" s="9" t="s">
        <v>2013</v>
      </c>
      <c r="H416" s="9" t="s">
        <v>2014</v>
      </c>
      <c r="I416" s="9" t="s">
        <v>399</v>
      </c>
      <c r="J416" s="9" t="s">
        <v>2019</v>
      </c>
      <c r="K416" s="9" t="s">
        <v>89</v>
      </c>
      <c r="L416" s="9" t="s">
        <v>263</v>
      </c>
      <c r="M416" s="9">
        <v>13</v>
      </c>
      <c r="N416" s="9">
        <v>15</v>
      </c>
      <c r="O416" s="9" t="s">
        <v>57</v>
      </c>
      <c r="P416" s="9" t="s">
        <v>58</v>
      </c>
      <c r="Q416" s="9">
        <v>20</v>
      </c>
      <c r="R416" s="9">
        <v>7</v>
      </c>
      <c r="S416" s="9">
        <v>13</v>
      </c>
      <c r="T416" s="9">
        <v>10</v>
      </c>
      <c r="U416" s="9">
        <v>0</v>
      </c>
      <c r="V416" s="9" t="s">
        <v>114</v>
      </c>
      <c r="W416" s="9">
        <v>0</v>
      </c>
      <c r="X416" s="9">
        <v>0</v>
      </c>
      <c r="Y416" s="9">
        <v>0</v>
      </c>
      <c r="Z416" s="9">
        <v>0</v>
      </c>
      <c r="AA416" s="9">
        <v>15</v>
      </c>
      <c r="AB416" s="9">
        <v>7</v>
      </c>
      <c r="AC416" s="9">
        <v>14</v>
      </c>
      <c r="AD416" s="9" t="s">
        <v>0</v>
      </c>
      <c r="AE416" s="9" t="s">
        <v>60</v>
      </c>
    </row>
    <row r="417" spans="1:31" ht="51" x14ac:dyDescent="0.2">
      <c r="A417" s="8" t="str">
        <f>HYPERLINK("http://www.patentics.cn/invokexml.do?sx=showpatent_cn&amp;sf=ShowPatent&amp;spn=CN102318206B&amp;sx=showpatent_cn&amp;sv=a9d8a1a9e475a3fcdb46b440265501b1","CN102318206B")</f>
        <v>CN102318206B</v>
      </c>
      <c r="B417" s="9" t="s">
        <v>2020</v>
      </c>
      <c r="C417" s="9" t="s">
        <v>2021</v>
      </c>
      <c r="D417" s="9" t="s">
        <v>301</v>
      </c>
      <c r="E417" s="9" t="s">
        <v>301</v>
      </c>
      <c r="F417" s="9" t="s">
        <v>2022</v>
      </c>
      <c r="G417" s="9" t="s">
        <v>2023</v>
      </c>
      <c r="H417" s="9" t="s">
        <v>2014</v>
      </c>
      <c r="I417" s="9" t="s">
        <v>2024</v>
      </c>
      <c r="J417" s="9" t="s">
        <v>2025</v>
      </c>
      <c r="K417" s="9" t="s">
        <v>89</v>
      </c>
      <c r="L417" s="9" t="s">
        <v>2026</v>
      </c>
      <c r="M417" s="9">
        <v>37</v>
      </c>
      <c r="N417" s="9">
        <v>13</v>
      </c>
      <c r="O417" s="9" t="s">
        <v>57</v>
      </c>
      <c r="P417" s="9" t="s">
        <v>58</v>
      </c>
      <c r="Q417" s="9">
        <v>2</v>
      </c>
      <c r="R417" s="9">
        <v>1</v>
      </c>
      <c r="S417" s="9">
        <v>1</v>
      </c>
      <c r="T417" s="9">
        <v>2</v>
      </c>
      <c r="U417" s="9">
        <v>0</v>
      </c>
      <c r="V417" s="9" t="s">
        <v>114</v>
      </c>
      <c r="W417" s="9">
        <v>0</v>
      </c>
      <c r="X417" s="9">
        <v>0</v>
      </c>
      <c r="Y417" s="9">
        <v>0</v>
      </c>
      <c r="Z417" s="9">
        <v>0</v>
      </c>
      <c r="AA417" s="9">
        <v>15</v>
      </c>
      <c r="AB417" s="9">
        <v>7</v>
      </c>
      <c r="AC417" s="9">
        <v>14</v>
      </c>
      <c r="AD417" s="9" t="s">
        <v>0</v>
      </c>
      <c r="AE417" s="9" t="s">
        <v>60</v>
      </c>
    </row>
    <row r="418" spans="1:31" ht="51" x14ac:dyDescent="0.2">
      <c r="A418" s="8" t="str">
        <f>HYPERLINK("http://www.patentics.cn/invokexml.do?sx=showpatent_cn&amp;sf=ShowPatent&amp;spn=CN102318206&amp;sx=showpatent_cn&amp;sv=e1df26e5682675012516e8607485c9e8","CN102318206")</f>
        <v>CN102318206</v>
      </c>
      <c r="B418" s="9" t="s">
        <v>2020</v>
      </c>
      <c r="C418" s="9" t="s">
        <v>2021</v>
      </c>
      <c r="D418" s="9" t="s">
        <v>301</v>
      </c>
      <c r="E418" s="9" t="s">
        <v>301</v>
      </c>
      <c r="F418" s="9" t="s">
        <v>2022</v>
      </c>
      <c r="G418" s="9" t="s">
        <v>2023</v>
      </c>
      <c r="H418" s="9" t="s">
        <v>2014</v>
      </c>
      <c r="I418" s="9" t="s">
        <v>2024</v>
      </c>
      <c r="J418" s="9" t="s">
        <v>2027</v>
      </c>
      <c r="K418" s="9" t="s">
        <v>89</v>
      </c>
      <c r="L418" s="9" t="s">
        <v>2026</v>
      </c>
      <c r="M418" s="9">
        <v>40</v>
      </c>
      <c r="N418" s="9">
        <v>12</v>
      </c>
      <c r="O418" s="9" t="s">
        <v>42</v>
      </c>
      <c r="P418" s="9" t="s">
        <v>58</v>
      </c>
      <c r="Q418" s="9">
        <v>4</v>
      </c>
      <c r="R418" s="9">
        <v>1</v>
      </c>
      <c r="S418" s="9">
        <v>3</v>
      </c>
      <c r="T418" s="9">
        <v>4</v>
      </c>
      <c r="U418" s="9">
        <v>1</v>
      </c>
      <c r="V418" s="9" t="s">
        <v>1591</v>
      </c>
      <c r="W418" s="9">
        <v>0</v>
      </c>
      <c r="X418" s="9">
        <v>1</v>
      </c>
      <c r="Y418" s="9">
        <v>1</v>
      </c>
      <c r="Z418" s="9">
        <v>1</v>
      </c>
      <c r="AA418" s="9">
        <v>15</v>
      </c>
      <c r="AB418" s="9">
        <v>7</v>
      </c>
      <c r="AC418" s="9">
        <v>14</v>
      </c>
      <c r="AD418" s="9" t="s">
        <v>0</v>
      </c>
      <c r="AE418" s="9" t="s">
        <v>60</v>
      </c>
    </row>
    <row r="419" spans="1:31" ht="76.5" x14ac:dyDescent="0.2">
      <c r="A419" s="6" t="str">
        <f>HYPERLINK("http://www.patentics.cn/invokexml.do?sx=showpatent_cn&amp;sf=ShowPatent&amp;spn=CN1689190&amp;sx=showpatent_cn&amp;sv=341bd4848122f27760d9211e294de771","CN1689190")</f>
        <v>CN1689190</v>
      </c>
      <c r="B419" s="7" t="s">
        <v>2028</v>
      </c>
      <c r="C419" s="7" t="s">
        <v>2029</v>
      </c>
      <c r="D419" s="7" t="s">
        <v>2030</v>
      </c>
      <c r="E419" s="7" t="s">
        <v>2031</v>
      </c>
      <c r="F419" s="7" t="s">
        <v>2032</v>
      </c>
      <c r="G419" s="7" t="s">
        <v>2033</v>
      </c>
      <c r="H419" s="7" t="s">
        <v>2034</v>
      </c>
      <c r="I419" s="7" t="s">
        <v>2035</v>
      </c>
      <c r="J419" s="7" t="s">
        <v>1100</v>
      </c>
      <c r="K419" s="7" t="s">
        <v>1037</v>
      </c>
      <c r="L419" s="7" t="s">
        <v>2036</v>
      </c>
      <c r="M419" s="7">
        <v>57</v>
      </c>
      <c r="N419" s="7">
        <v>9</v>
      </c>
      <c r="O419" s="7" t="s">
        <v>42</v>
      </c>
      <c r="P419" s="7" t="s">
        <v>58</v>
      </c>
      <c r="Q419" s="7">
        <v>5</v>
      </c>
      <c r="R419" s="7">
        <v>0</v>
      </c>
      <c r="S419" s="7">
        <v>5</v>
      </c>
      <c r="T419" s="7">
        <v>5</v>
      </c>
      <c r="U419" s="7">
        <v>4</v>
      </c>
      <c r="V419" s="7" t="s">
        <v>1676</v>
      </c>
      <c r="W419" s="7">
        <v>0</v>
      </c>
      <c r="X419" s="7">
        <v>4</v>
      </c>
      <c r="Y419" s="7">
        <v>1</v>
      </c>
      <c r="Z419" s="7">
        <v>2</v>
      </c>
      <c r="AA419" s="7">
        <v>10</v>
      </c>
      <c r="AB419" s="7">
        <v>6</v>
      </c>
      <c r="AC419" s="7" t="s">
        <v>0</v>
      </c>
      <c r="AD419" s="7">
        <v>4</v>
      </c>
      <c r="AE419" s="7" t="s">
        <v>532</v>
      </c>
    </row>
    <row r="420" spans="1:31" ht="51" x14ac:dyDescent="0.2">
      <c r="A420" s="8" t="str">
        <f>HYPERLINK("http://www.patentics.cn/invokexml.do?sx=showpatent_cn&amp;sf=ShowPatent&amp;spn=US9124120&amp;sx=showpatent_cn&amp;sv=a0b22dd42830598ba6debf753296c53a","US9124120")</f>
        <v>US9124120</v>
      </c>
      <c r="B420" s="9" t="s">
        <v>2037</v>
      </c>
      <c r="C420" s="9" t="s">
        <v>2038</v>
      </c>
      <c r="D420" s="9" t="s">
        <v>48</v>
      </c>
      <c r="E420" s="9" t="s">
        <v>49</v>
      </c>
      <c r="F420" s="9" t="s">
        <v>2039</v>
      </c>
      <c r="G420" s="9" t="s">
        <v>992</v>
      </c>
      <c r="H420" s="9" t="s">
        <v>2040</v>
      </c>
      <c r="I420" s="9" t="s">
        <v>2041</v>
      </c>
      <c r="J420" s="9" t="s">
        <v>1116</v>
      </c>
      <c r="K420" s="9" t="s">
        <v>580</v>
      </c>
      <c r="L420" s="9" t="s">
        <v>1030</v>
      </c>
      <c r="M420" s="9">
        <v>19</v>
      </c>
      <c r="N420" s="9">
        <v>19</v>
      </c>
      <c r="O420" s="9" t="s">
        <v>57</v>
      </c>
      <c r="P420" s="9" t="s">
        <v>58</v>
      </c>
      <c r="Q420" s="9">
        <v>431</v>
      </c>
      <c r="R420" s="9">
        <v>6</v>
      </c>
      <c r="S420" s="9">
        <v>425</v>
      </c>
      <c r="T420" s="9">
        <v>211</v>
      </c>
      <c r="U420" s="9">
        <v>2</v>
      </c>
      <c r="V420" s="9" t="s">
        <v>131</v>
      </c>
      <c r="W420" s="9">
        <v>0</v>
      </c>
      <c r="X420" s="9">
        <v>2</v>
      </c>
      <c r="Y420" s="9">
        <v>1</v>
      </c>
      <c r="Z420" s="9">
        <v>1</v>
      </c>
      <c r="AA420" s="9">
        <v>1</v>
      </c>
      <c r="AB420" s="9">
        <v>1</v>
      </c>
      <c r="AC420" s="9">
        <v>14</v>
      </c>
      <c r="AD420" s="9" t="s">
        <v>0</v>
      </c>
      <c r="AE420" s="9" t="s">
        <v>60</v>
      </c>
    </row>
    <row r="421" spans="1:31" ht="38.25" x14ac:dyDescent="0.2">
      <c r="A421" s="8" t="str">
        <f>HYPERLINK("http://www.patentics.cn/invokexml.do?sx=showpatent_cn&amp;sf=ShowPatent&amp;spn=US9130602&amp;sx=showpatent_cn&amp;sv=ac0e1c5ff5b1090241ec368eb946364a","US9130602")</f>
        <v>US9130602</v>
      </c>
      <c r="B421" s="9" t="s">
        <v>2042</v>
      </c>
      <c r="C421" s="9" t="s">
        <v>2043</v>
      </c>
      <c r="D421" s="9" t="s">
        <v>48</v>
      </c>
      <c r="E421" s="9" t="s">
        <v>49</v>
      </c>
      <c r="F421" s="9" t="s">
        <v>2044</v>
      </c>
      <c r="G421" s="9" t="s">
        <v>992</v>
      </c>
      <c r="H421" s="9" t="s">
        <v>2045</v>
      </c>
      <c r="I421" s="9" t="s">
        <v>2046</v>
      </c>
      <c r="J421" s="9" t="s">
        <v>190</v>
      </c>
      <c r="K421" s="9" t="s">
        <v>488</v>
      </c>
      <c r="L421" s="9" t="s">
        <v>489</v>
      </c>
      <c r="M421" s="9">
        <v>24</v>
      </c>
      <c r="N421" s="9">
        <v>12</v>
      </c>
      <c r="O421" s="9" t="s">
        <v>57</v>
      </c>
      <c r="P421" s="9" t="s">
        <v>58</v>
      </c>
      <c r="Q421" s="9">
        <v>435</v>
      </c>
      <c r="R421" s="9">
        <v>7</v>
      </c>
      <c r="S421" s="9">
        <v>428</v>
      </c>
      <c r="T421" s="9">
        <v>209</v>
      </c>
      <c r="U421" s="9">
        <v>2</v>
      </c>
      <c r="V421" s="9" t="s">
        <v>114</v>
      </c>
      <c r="W421" s="9">
        <v>0</v>
      </c>
      <c r="X421" s="9">
        <v>2</v>
      </c>
      <c r="Y421" s="9">
        <v>1</v>
      </c>
      <c r="Z421" s="9">
        <v>1</v>
      </c>
      <c r="AA421" s="9">
        <v>29</v>
      </c>
      <c r="AB421" s="9">
        <v>8</v>
      </c>
      <c r="AC421" s="9">
        <v>14</v>
      </c>
      <c r="AD421" s="9" t="s">
        <v>0</v>
      </c>
      <c r="AE421" s="9" t="s">
        <v>60</v>
      </c>
    </row>
    <row r="422" spans="1:31" ht="114.75" x14ac:dyDescent="0.2">
      <c r="A422" s="8" t="str">
        <f>HYPERLINK("http://www.patentics.cn/invokexml.do?sx=showpatent_cn&amp;sf=ShowPatent&amp;spn=US9774086&amp;sx=showpatent_cn&amp;sv=d38d4d02ce639900649ed07e7ef9865d","US9774086")</f>
        <v>US9774086</v>
      </c>
      <c r="B422" s="9" t="s">
        <v>2047</v>
      </c>
      <c r="C422" s="9" t="s">
        <v>2048</v>
      </c>
      <c r="D422" s="9" t="s">
        <v>48</v>
      </c>
      <c r="E422" s="9" t="s">
        <v>49</v>
      </c>
      <c r="F422" s="9" t="s">
        <v>2049</v>
      </c>
      <c r="G422" s="9" t="s">
        <v>992</v>
      </c>
      <c r="H422" s="9" t="s">
        <v>0</v>
      </c>
      <c r="I422" s="9" t="s">
        <v>2050</v>
      </c>
      <c r="J422" s="9" t="s">
        <v>2051</v>
      </c>
      <c r="K422" s="9" t="s">
        <v>580</v>
      </c>
      <c r="L422" s="9" t="s">
        <v>589</v>
      </c>
      <c r="M422" s="9">
        <v>49</v>
      </c>
      <c r="N422" s="9">
        <v>24</v>
      </c>
      <c r="O422" s="9" t="s">
        <v>57</v>
      </c>
      <c r="P422" s="9" t="s">
        <v>58</v>
      </c>
      <c r="Q422" s="9">
        <v>445</v>
      </c>
      <c r="R422" s="9">
        <v>7</v>
      </c>
      <c r="S422" s="9">
        <v>438</v>
      </c>
      <c r="T422" s="9">
        <v>218</v>
      </c>
      <c r="U422" s="9">
        <v>0</v>
      </c>
      <c r="V422" s="9" t="s">
        <v>114</v>
      </c>
      <c r="W422" s="9">
        <v>0</v>
      </c>
      <c r="X422" s="9">
        <v>0</v>
      </c>
      <c r="Y422" s="9">
        <v>0</v>
      </c>
      <c r="Z422" s="9">
        <v>0</v>
      </c>
      <c r="AA422" s="9">
        <v>0</v>
      </c>
      <c r="AB422" s="9">
        <v>0</v>
      </c>
      <c r="AC422" s="9">
        <v>14</v>
      </c>
      <c r="AD422" s="9" t="s">
        <v>0</v>
      </c>
      <c r="AE422" s="9" t="s">
        <v>60</v>
      </c>
    </row>
    <row r="423" spans="1:31" ht="38.25" x14ac:dyDescent="0.2">
      <c r="A423" s="8" t="str">
        <f>HYPERLINK("http://www.patentics.cn/invokexml.do?sx=showpatent_cn&amp;sf=ShowPatent&amp;spn=CN103187629B&amp;sx=showpatent_cn&amp;sv=9da1df7859cd3e9bba20a5b9b621da85","CN103187629B")</f>
        <v>CN103187629B</v>
      </c>
      <c r="B423" s="9" t="s">
        <v>2052</v>
      </c>
      <c r="C423" s="9" t="s">
        <v>2053</v>
      </c>
      <c r="D423" s="9" t="s">
        <v>301</v>
      </c>
      <c r="E423" s="9" t="s">
        <v>301</v>
      </c>
      <c r="F423" s="9" t="s">
        <v>2054</v>
      </c>
      <c r="G423" s="9" t="s">
        <v>2055</v>
      </c>
      <c r="H423" s="9" t="s">
        <v>2056</v>
      </c>
      <c r="I423" s="9" t="s">
        <v>2057</v>
      </c>
      <c r="J423" s="9" t="s">
        <v>2058</v>
      </c>
      <c r="K423" s="9" t="s">
        <v>1037</v>
      </c>
      <c r="L423" s="9" t="s">
        <v>2059</v>
      </c>
      <c r="M423" s="9">
        <v>27</v>
      </c>
      <c r="N423" s="9">
        <v>25</v>
      </c>
      <c r="O423" s="9" t="s">
        <v>57</v>
      </c>
      <c r="P423" s="9" t="s">
        <v>58</v>
      </c>
      <c r="Q423" s="9">
        <v>2</v>
      </c>
      <c r="R423" s="9">
        <v>0</v>
      </c>
      <c r="S423" s="9">
        <v>2</v>
      </c>
      <c r="T423" s="9">
        <v>2</v>
      </c>
      <c r="U423" s="9">
        <v>0</v>
      </c>
      <c r="V423" s="9" t="s">
        <v>114</v>
      </c>
      <c r="W423" s="9">
        <v>0</v>
      </c>
      <c r="X423" s="9">
        <v>0</v>
      </c>
      <c r="Y423" s="9">
        <v>0</v>
      </c>
      <c r="Z423" s="9">
        <v>0</v>
      </c>
      <c r="AA423" s="9">
        <v>0</v>
      </c>
      <c r="AB423" s="9">
        <v>0</v>
      </c>
      <c r="AC423" s="9">
        <v>14</v>
      </c>
      <c r="AD423" s="9" t="s">
        <v>0</v>
      </c>
      <c r="AE423" s="9" t="s">
        <v>60</v>
      </c>
    </row>
    <row r="424" spans="1:31" ht="38.25" x14ac:dyDescent="0.2">
      <c r="A424" s="6" t="str">
        <f>HYPERLINK("http://www.patentics.cn/invokexml.do?sx=showpatent_cn&amp;sf=ShowPatent&amp;spn=CN1674483&amp;sx=showpatent_cn&amp;sv=736c88baa8d30870c721783472d3e628","CN1674483")</f>
        <v>CN1674483</v>
      </c>
      <c r="B424" s="7" t="s">
        <v>2060</v>
      </c>
      <c r="C424" s="7" t="s">
        <v>2061</v>
      </c>
      <c r="D424" s="7" t="s">
        <v>309</v>
      </c>
      <c r="E424" s="7" t="s">
        <v>309</v>
      </c>
      <c r="F424" s="7" t="s">
        <v>2062</v>
      </c>
      <c r="G424" s="7" t="s">
        <v>2063</v>
      </c>
      <c r="H424" s="7" t="s">
        <v>0</v>
      </c>
      <c r="I424" s="7" t="s">
        <v>234</v>
      </c>
      <c r="J424" s="7" t="s">
        <v>2064</v>
      </c>
      <c r="K424" s="7" t="s">
        <v>68</v>
      </c>
      <c r="L424" s="7" t="s">
        <v>1668</v>
      </c>
      <c r="M424" s="7">
        <v>2</v>
      </c>
      <c r="N424" s="7">
        <v>22</v>
      </c>
      <c r="O424" s="7" t="s">
        <v>42</v>
      </c>
      <c r="P424" s="7" t="s">
        <v>43</v>
      </c>
      <c r="Q424" s="7">
        <v>0</v>
      </c>
      <c r="R424" s="7">
        <v>0</v>
      </c>
      <c r="S424" s="7">
        <v>0</v>
      </c>
      <c r="T424" s="7">
        <v>0</v>
      </c>
      <c r="U424" s="7">
        <v>7</v>
      </c>
      <c r="V424" s="7" t="s">
        <v>2065</v>
      </c>
      <c r="W424" s="7">
        <v>1</v>
      </c>
      <c r="X424" s="7">
        <v>6</v>
      </c>
      <c r="Y424" s="7">
        <v>3</v>
      </c>
      <c r="Z424" s="7">
        <v>2</v>
      </c>
      <c r="AA424" s="7">
        <v>0</v>
      </c>
      <c r="AB424" s="7">
        <v>0</v>
      </c>
      <c r="AC424" s="7" t="s">
        <v>0</v>
      </c>
      <c r="AD424" s="7">
        <v>4</v>
      </c>
      <c r="AE424" s="7" t="s">
        <v>45</v>
      </c>
    </row>
    <row r="425" spans="1:31" ht="38.25" x14ac:dyDescent="0.2">
      <c r="A425" s="8" t="str">
        <f>HYPERLINK("http://www.patentics.cn/invokexml.do?sx=showpatent_cn&amp;sf=ShowPatent&amp;spn=US9001815&amp;sx=showpatent_cn&amp;sv=702dc1ea339df8034a10a0402f6ae901","US9001815")</f>
        <v>US9001815</v>
      </c>
      <c r="B425" s="9" t="s">
        <v>2066</v>
      </c>
      <c r="C425" s="9" t="s">
        <v>2067</v>
      </c>
      <c r="D425" s="9" t="s">
        <v>1404</v>
      </c>
      <c r="E425" s="9" t="s">
        <v>49</v>
      </c>
      <c r="F425" s="9" t="s">
        <v>2068</v>
      </c>
      <c r="G425" s="9" t="s">
        <v>2068</v>
      </c>
      <c r="H425" s="9" t="s">
        <v>2069</v>
      </c>
      <c r="I425" s="9" t="s">
        <v>2070</v>
      </c>
      <c r="J425" s="9" t="s">
        <v>1110</v>
      </c>
      <c r="K425" s="9" t="s">
        <v>40</v>
      </c>
      <c r="L425" s="9" t="s">
        <v>121</v>
      </c>
      <c r="M425" s="9">
        <v>17</v>
      </c>
      <c r="N425" s="9">
        <v>9</v>
      </c>
      <c r="O425" s="9" t="s">
        <v>57</v>
      </c>
      <c r="P425" s="9" t="s">
        <v>58</v>
      </c>
      <c r="Q425" s="9">
        <v>41</v>
      </c>
      <c r="R425" s="9">
        <v>5</v>
      </c>
      <c r="S425" s="9">
        <v>36</v>
      </c>
      <c r="T425" s="9">
        <v>22</v>
      </c>
      <c r="U425" s="9">
        <v>1</v>
      </c>
      <c r="V425" s="9" t="s">
        <v>114</v>
      </c>
      <c r="W425" s="9">
        <v>0</v>
      </c>
      <c r="X425" s="9">
        <v>1</v>
      </c>
      <c r="Y425" s="9">
        <v>1</v>
      </c>
      <c r="Z425" s="9">
        <v>1</v>
      </c>
      <c r="AA425" s="9">
        <v>30</v>
      </c>
      <c r="AB425" s="9">
        <v>7</v>
      </c>
      <c r="AC425" s="9">
        <v>14</v>
      </c>
      <c r="AD425" s="9" t="s">
        <v>0</v>
      </c>
      <c r="AE425" s="9" t="s">
        <v>60</v>
      </c>
    </row>
    <row r="426" spans="1:31" ht="127.5" x14ac:dyDescent="0.2">
      <c r="A426" s="8" t="str">
        <f>HYPERLINK("http://www.patentics.cn/invokexml.do?sx=showpatent_cn&amp;sf=ShowPatent&amp;spn=US9008066&amp;sx=showpatent_cn&amp;sv=e37c769a538463111a4badc89115e176","US9008066")</f>
        <v>US9008066</v>
      </c>
      <c r="B426" s="9" t="s">
        <v>2071</v>
      </c>
      <c r="C426" s="9" t="s">
        <v>2067</v>
      </c>
      <c r="D426" s="9" t="s">
        <v>1404</v>
      </c>
      <c r="E426" s="9" t="s">
        <v>49</v>
      </c>
      <c r="F426" s="9" t="s">
        <v>2072</v>
      </c>
      <c r="G426" s="9" t="s">
        <v>2073</v>
      </c>
      <c r="H426" s="9" t="s">
        <v>2074</v>
      </c>
      <c r="I426" s="9" t="s">
        <v>2074</v>
      </c>
      <c r="J426" s="9" t="s">
        <v>2075</v>
      </c>
      <c r="K426" s="9" t="s">
        <v>55</v>
      </c>
      <c r="L426" s="9" t="s">
        <v>56</v>
      </c>
      <c r="M426" s="9">
        <v>35</v>
      </c>
      <c r="N426" s="9">
        <v>9</v>
      </c>
      <c r="O426" s="9" t="s">
        <v>57</v>
      </c>
      <c r="P426" s="9" t="s">
        <v>58</v>
      </c>
      <c r="Q426" s="9">
        <v>41</v>
      </c>
      <c r="R426" s="9">
        <v>5</v>
      </c>
      <c r="S426" s="9">
        <v>36</v>
      </c>
      <c r="T426" s="9">
        <v>22</v>
      </c>
      <c r="U426" s="9">
        <v>1</v>
      </c>
      <c r="V426" s="9" t="s">
        <v>78</v>
      </c>
      <c r="W426" s="9">
        <v>0</v>
      </c>
      <c r="X426" s="9">
        <v>1</v>
      </c>
      <c r="Y426" s="9">
        <v>1</v>
      </c>
      <c r="Z426" s="9">
        <v>1</v>
      </c>
      <c r="AA426" s="9">
        <v>7</v>
      </c>
      <c r="AB426" s="9">
        <v>5</v>
      </c>
      <c r="AC426" s="9">
        <v>14</v>
      </c>
      <c r="AD426" s="9" t="s">
        <v>0</v>
      </c>
      <c r="AE426" s="9" t="s">
        <v>60</v>
      </c>
    </row>
    <row r="427" spans="1:31" ht="63.75" x14ac:dyDescent="0.2">
      <c r="A427" s="8" t="str">
        <f>HYPERLINK("http://www.patentics.cn/invokexml.do?sx=showpatent_cn&amp;sf=ShowPatent&amp;spn=CN102812774B&amp;sx=showpatent_cn&amp;sv=57a22dad1d3593939429c846d43b1e5a","CN102812774B")</f>
        <v>CN102812774B</v>
      </c>
      <c r="B427" s="9" t="s">
        <v>2076</v>
      </c>
      <c r="C427" s="9" t="s">
        <v>2077</v>
      </c>
      <c r="D427" s="9" t="s">
        <v>301</v>
      </c>
      <c r="E427" s="9" t="s">
        <v>301</v>
      </c>
      <c r="F427" s="9" t="s">
        <v>2078</v>
      </c>
      <c r="G427" s="9" t="s">
        <v>2079</v>
      </c>
      <c r="H427" s="9" t="s">
        <v>2074</v>
      </c>
      <c r="I427" s="9" t="s">
        <v>1183</v>
      </c>
      <c r="J427" s="9" t="s">
        <v>2080</v>
      </c>
      <c r="K427" s="9" t="s">
        <v>55</v>
      </c>
      <c r="L427" s="9" t="s">
        <v>2081</v>
      </c>
      <c r="M427" s="9">
        <v>27</v>
      </c>
      <c r="N427" s="9">
        <v>10</v>
      </c>
      <c r="O427" s="9" t="s">
        <v>57</v>
      </c>
      <c r="P427" s="9" t="s">
        <v>58</v>
      </c>
      <c r="Q427" s="9">
        <v>3</v>
      </c>
      <c r="R427" s="9">
        <v>0</v>
      </c>
      <c r="S427" s="9">
        <v>3</v>
      </c>
      <c r="T427" s="9">
        <v>2</v>
      </c>
      <c r="U427" s="9">
        <v>0</v>
      </c>
      <c r="V427" s="9" t="s">
        <v>114</v>
      </c>
      <c r="W427" s="9">
        <v>0</v>
      </c>
      <c r="X427" s="9">
        <v>0</v>
      </c>
      <c r="Y427" s="9">
        <v>0</v>
      </c>
      <c r="Z427" s="9">
        <v>0</v>
      </c>
      <c r="AA427" s="9">
        <v>7</v>
      </c>
      <c r="AB427" s="9">
        <v>5</v>
      </c>
      <c r="AC427" s="9">
        <v>14</v>
      </c>
      <c r="AD427" s="9" t="s">
        <v>0</v>
      </c>
      <c r="AE427" s="9" t="s">
        <v>60</v>
      </c>
    </row>
    <row r="428" spans="1:31" ht="63.75" x14ac:dyDescent="0.2">
      <c r="A428" s="8" t="str">
        <f>HYPERLINK("http://www.patentics.cn/invokexml.do?sx=showpatent_cn&amp;sf=ShowPatent&amp;spn=CN102812774&amp;sx=showpatent_cn&amp;sv=1747b55413fee6ee38c746faceeba78b","CN102812774")</f>
        <v>CN102812774</v>
      </c>
      <c r="B428" s="9" t="s">
        <v>2076</v>
      </c>
      <c r="C428" s="9" t="s">
        <v>2077</v>
      </c>
      <c r="D428" s="9" t="s">
        <v>301</v>
      </c>
      <c r="E428" s="9" t="s">
        <v>301</v>
      </c>
      <c r="F428" s="9" t="s">
        <v>2078</v>
      </c>
      <c r="G428" s="9" t="s">
        <v>2079</v>
      </c>
      <c r="H428" s="9" t="s">
        <v>2074</v>
      </c>
      <c r="I428" s="9" t="s">
        <v>1183</v>
      </c>
      <c r="J428" s="9" t="s">
        <v>2082</v>
      </c>
      <c r="K428" s="9" t="s">
        <v>55</v>
      </c>
      <c r="L428" s="9" t="s">
        <v>2081</v>
      </c>
      <c r="M428" s="9">
        <v>35</v>
      </c>
      <c r="N428" s="9">
        <v>5</v>
      </c>
      <c r="O428" s="9" t="s">
        <v>42</v>
      </c>
      <c r="P428" s="9" t="s">
        <v>58</v>
      </c>
      <c r="Q428" s="9">
        <v>4</v>
      </c>
      <c r="R428" s="9">
        <v>1</v>
      </c>
      <c r="S428" s="9">
        <v>3</v>
      </c>
      <c r="T428" s="9">
        <v>3</v>
      </c>
      <c r="U428" s="9">
        <v>0</v>
      </c>
      <c r="V428" s="9" t="s">
        <v>114</v>
      </c>
      <c r="W428" s="9">
        <v>0</v>
      </c>
      <c r="X428" s="9">
        <v>0</v>
      </c>
      <c r="Y428" s="9">
        <v>0</v>
      </c>
      <c r="Z428" s="9">
        <v>0</v>
      </c>
      <c r="AA428" s="9">
        <v>7</v>
      </c>
      <c r="AB428" s="9">
        <v>5</v>
      </c>
      <c r="AC428" s="9">
        <v>14</v>
      </c>
      <c r="AD428" s="9" t="s">
        <v>0</v>
      </c>
      <c r="AE428" s="9" t="s">
        <v>60</v>
      </c>
    </row>
    <row r="429" spans="1:31" ht="25.5" x14ac:dyDescent="0.2">
      <c r="A429" s="6" t="str">
        <f>HYPERLINK("http://www.patentics.cn/invokexml.do?sx=showpatent_cn&amp;sf=ShowPatent&amp;spn=CN1303193&amp;sx=showpatent_cn&amp;sv=081b091e962879db95242e3373c54f56","CN1303193")</f>
        <v>CN1303193</v>
      </c>
      <c r="B429" s="7" t="s">
        <v>2083</v>
      </c>
      <c r="C429" s="7" t="s">
        <v>2084</v>
      </c>
      <c r="D429" s="7" t="s">
        <v>2085</v>
      </c>
      <c r="E429" s="7" t="s">
        <v>2085</v>
      </c>
      <c r="F429" s="7" t="s">
        <v>2086</v>
      </c>
      <c r="G429" s="7" t="s">
        <v>2087</v>
      </c>
      <c r="H429" s="7" t="s">
        <v>2088</v>
      </c>
      <c r="I429" s="7" t="s">
        <v>2088</v>
      </c>
      <c r="J429" s="7" t="s">
        <v>2089</v>
      </c>
      <c r="K429" s="7" t="s">
        <v>40</v>
      </c>
      <c r="L429" s="7" t="s">
        <v>2090</v>
      </c>
      <c r="M429" s="7">
        <v>8</v>
      </c>
      <c r="N429" s="7">
        <v>18</v>
      </c>
      <c r="O429" s="7" t="s">
        <v>42</v>
      </c>
      <c r="P429" s="7" t="s">
        <v>43</v>
      </c>
      <c r="Q429" s="7">
        <v>1</v>
      </c>
      <c r="R429" s="7">
        <v>1</v>
      </c>
      <c r="S429" s="7">
        <v>0</v>
      </c>
      <c r="T429" s="7">
        <v>1</v>
      </c>
      <c r="U429" s="7">
        <v>13</v>
      </c>
      <c r="V429" s="7" t="s">
        <v>2091</v>
      </c>
      <c r="W429" s="7">
        <v>0</v>
      </c>
      <c r="X429" s="7">
        <v>13</v>
      </c>
      <c r="Y429" s="7">
        <v>6</v>
      </c>
      <c r="Z429" s="7">
        <v>3</v>
      </c>
      <c r="AA429" s="7">
        <v>3</v>
      </c>
      <c r="AB429" s="7">
        <v>2</v>
      </c>
      <c r="AC429" s="7" t="s">
        <v>0</v>
      </c>
      <c r="AD429" s="7">
        <v>4</v>
      </c>
      <c r="AE429" s="7" t="s">
        <v>532</v>
      </c>
    </row>
    <row r="430" spans="1:31" ht="51" x14ac:dyDescent="0.2">
      <c r="A430" s="8" t="str">
        <f>HYPERLINK("http://www.patentics.cn/invokexml.do?sx=showpatent_cn&amp;sf=ShowPatent&amp;spn=US8693525&amp;sx=showpatent_cn&amp;sv=28f4cf7a97927e277106b15c2684d615","US8693525")</f>
        <v>US8693525</v>
      </c>
      <c r="B430" s="9" t="s">
        <v>2092</v>
      </c>
      <c r="C430" s="9" t="s">
        <v>2093</v>
      </c>
      <c r="D430" s="9" t="s">
        <v>117</v>
      </c>
      <c r="E430" s="9" t="s">
        <v>49</v>
      </c>
      <c r="F430" s="9" t="s">
        <v>2094</v>
      </c>
      <c r="G430" s="9" t="s">
        <v>2095</v>
      </c>
      <c r="H430" s="9" t="s">
        <v>2096</v>
      </c>
      <c r="I430" s="9" t="s">
        <v>2097</v>
      </c>
      <c r="J430" s="9" t="s">
        <v>135</v>
      </c>
      <c r="K430" s="9" t="s">
        <v>89</v>
      </c>
      <c r="L430" s="9" t="s">
        <v>263</v>
      </c>
      <c r="M430" s="9">
        <v>23</v>
      </c>
      <c r="N430" s="9">
        <v>22</v>
      </c>
      <c r="O430" s="9" t="s">
        <v>57</v>
      </c>
      <c r="P430" s="9" t="s">
        <v>58</v>
      </c>
      <c r="Q430" s="9">
        <v>36</v>
      </c>
      <c r="R430" s="9">
        <v>4</v>
      </c>
      <c r="S430" s="9">
        <v>32</v>
      </c>
      <c r="T430" s="9">
        <v>20</v>
      </c>
      <c r="U430" s="9">
        <v>4</v>
      </c>
      <c r="V430" s="9" t="s">
        <v>1752</v>
      </c>
      <c r="W430" s="9">
        <v>3</v>
      </c>
      <c r="X430" s="9">
        <v>1</v>
      </c>
      <c r="Y430" s="9">
        <v>2</v>
      </c>
      <c r="Z430" s="9">
        <v>1</v>
      </c>
      <c r="AA430" s="9">
        <v>11</v>
      </c>
      <c r="AB430" s="9">
        <v>7</v>
      </c>
      <c r="AC430" s="9">
        <v>14</v>
      </c>
      <c r="AD430" s="9" t="s">
        <v>0</v>
      </c>
      <c r="AE430" s="9" t="s">
        <v>60</v>
      </c>
    </row>
    <row r="431" spans="1:31" ht="51" x14ac:dyDescent="0.2">
      <c r="A431" s="8" t="str">
        <f>HYPERLINK("http://www.patentics.cn/invokexml.do?sx=showpatent_cn&amp;sf=ShowPatent&amp;spn=US8712400&amp;sx=showpatent_cn&amp;sv=32d39cb4666efc2f8065e2594e643df5","US8712400")</f>
        <v>US8712400</v>
      </c>
      <c r="B431" s="9" t="s">
        <v>2098</v>
      </c>
      <c r="C431" s="9" t="s">
        <v>2099</v>
      </c>
      <c r="D431" s="9" t="s">
        <v>48</v>
      </c>
      <c r="E431" s="9" t="s">
        <v>49</v>
      </c>
      <c r="F431" s="9" t="s">
        <v>2100</v>
      </c>
      <c r="G431" s="9" t="s">
        <v>2101</v>
      </c>
      <c r="H431" s="9" t="s">
        <v>2102</v>
      </c>
      <c r="I431" s="9" t="s">
        <v>2103</v>
      </c>
      <c r="J431" s="9" t="s">
        <v>1001</v>
      </c>
      <c r="K431" s="9" t="s">
        <v>55</v>
      </c>
      <c r="L431" s="9" t="s">
        <v>56</v>
      </c>
      <c r="M431" s="9">
        <v>13</v>
      </c>
      <c r="N431" s="9">
        <v>13</v>
      </c>
      <c r="O431" s="9" t="s">
        <v>57</v>
      </c>
      <c r="P431" s="9" t="s">
        <v>58</v>
      </c>
      <c r="Q431" s="9">
        <v>39</v>
      </c>
      <c r="R431" s="9">
        <v>8</v>
      </c>
      <c r="S431" s="9">
        <v>31</v>
      </c>
      <c r="T431" s="9">
        <v>24</v>
      </c>
      <c r="U431" s="9">
        <v>1</v>
      </c>
      <c r="V431" s="9" t="s">
        <v>264</v>
      </c>
      <c r="W431" s="9">
        <v>0</v>
      </c>
      <c r="X431" s="9">
        <v>1</v>
      </c>
      <c r="Y431" s="9">
        <v>1</v>
      </c>
      <c r="Z431" s="9">
        <v>1</v>
      </c>
      <c r="AA431" s="9">
        <v>18</v>
      </c>
      <c r="AB431" s="9">
        <v>7</v>
      </c>
      <c r="AC431" s="9">
        <v>14</v>
      </c>
      <c r="AD431" s="9" t="s">
        <v>0</v>
      </c>
      <c r="AE431" s="9" t="s">
        <v>60</v>
      </c>
    </row>
    <row r="432" spans="1:31" ht="51" x14ac:dyDescent="0.2">
      <c r="A432" s="8" t="str">
        <f>HYPERLINK("http://www.patentics.cn/invokexml.do?sx=showpatent_cn&amp;sf=ShowPatent&amp;spn=US8792877&amp;sx=showpatent_cn&amp;sv=9a5c9f3ed24903136c397685300eef63","US8792877")</f>
        <v>US8792877</v>
      </c>
      <c r="B432" s="9" t="s">
        <v>2104</v>
      </c>
      <c r="C432" s="9" t="s">
        <v>2099</v>
      </c>
      <c r="D432" s="9" t="s">
        <v>48</v>
      </c>
      <c r="E432" s="9" t="s">
        <v>49</v>
      </c>
      <c r="F432" s="9" t="s">
        <v>2100</v>
      </c>
      <c r="G432" s="9" t="s">
        <v>2101</v>
      </c>
      <c r="H432" s="9" t="s">
        <v>2102</v>
      </c>
      <c r="I432" s="9" t="s">
        <v>2103</v>
      </c>
      <c r="J432" s="9" t="s">
        <v>2105</v>
      </c>
      <c r="K432" s="9" t="s">
        <v>55</v>
      </c>
      <c r="L432" s="9" t="s">
        <v>56</v>
      </c>
      <c r="M432" s="9">
        <v>14</v>
      </c>
      <c r="N432" s="9">
        <v>12</v>
      </c>
      <c r="O432" s="9" t="s">
        <v>57</v>
      </c>
      <c r="P432" s="9" t="s">
        <v>58</v>
      </c>
      <c r="Q432" s="9">
        <v>42</v>
      </c>
      <c r="R432" s="9">
        <v>8</v>
      </c>
      <c r="S432" s="9">
        <v>34</v>
      </c>
      <c r="T432" s="9">
        <v>27</v>
      </c>
      <c r="U432" s="9">
        <v>1</v>
      </c>
      <c r="V432" s="9" t="s">
        <v>264</v>
      </c>
      <c r="W432" s="9">
        <v>0</v>
      </c>
      <c r="X432" s="9">
        <v>1</v>
      </c>
      <c r="Y432" s="9">
        <v>1</v>
      </c>
      <c r="Z432" s="9">
        <v>1</v>
      </c>
      <c r="AA432" s="9">
        <v>18</v>
      </c>
      <c r="AB432" s="9">
        <v>7</v>
      </c>
      <c r="AC432" s="9">
        <v>14</v>
      </c>
      <c r="AD432" s="9" t="s">
        <v>0</v>
      </c>
      <c r="AE432" s="9" t="s">
        <v>60</v>
      </c>
    </row>
    <row r="433" spans="1:31" ht="25.5" x14ac:dyDescent="0.2">
      <c r="A433" s="8" t="str">
        <f>HYPERLINK("http://www.patentics.cn/invokexml.do?sx=showpatent_cn&amp;sf=ShowPatent&amp;spn=CN102142858B&amp;sx=showpatent_cn&amp;sv=e6295d7a0d7d8f8b6427bf00bae2b65e","CN102142858B")</f>
        <v>CN102142858B</v>
      </c>
      <c r="B433" s="9" t="s">
        <v>2106</v>
      </c>
      <c r="C433" s="9" t="s">
        <v>2107</v>
      </c>
      <c r="D433" s="9" t="s">
        <v>301</v>
      </c>
      <c r="E433" s="9" t="s">
        <v>301</v>
      </c>
      <c r="F433" s="9" t="s">
        <v>2108</v>
      </c>
      <c r="G433" s="9" t="s">
        <v>2109</v>
      </c>
      <c r="H433" s="9" t="s">
        <v>2102</v>
      </c>
      <c r="I433" s="9" t="s">
        <v>2110</v>
      </c>
      <c r="J433" s="9" t="s">
        <v>2111</v>
      </c>
      <c r="K433" s="9" t="s">
        <v>89</v>
      </c>
      <c r="L433" s="9" t="s">
        <v>2112</v>
      </c>
      <c r="M433" s="9">
        <v>19</v>
      </c>
      <c r="N433" s="9">
        <v>15</v>
      </c>
      <c r="O433" s="9" t="s">
        <v>57</v>
      </c>
      <c r="P433" s="9" t="s">
        <v>58</v>
      </c>
      <c r="Q433" s="9">
        <v>7</v>
      </c>
      <c r="R433" s="9">
        <v>2</v>
      </c>
      <c r="S433" s="9">
        <v>5</v>
      </c>
      <c r="T433" s="9">
        <v>6</v>
      </c>
      <c r="U433" s="9">
        <v>0</v>
      </c>
      <c r="V433" s="9" t="s">
        <v>114</v>
      </c>
      <c r="W433" s="9">
        <v>0</v>
      </c>
      <c r="X433" s="9">
        <v>0</v>
      </c>
      <c r="Y433" s="9">
        <v>0</v>
      </c>
      <c r="Z433" s="9">
        <v>0</v>
      </c>
      <c r="AA433" s="9">
        <v>18</v>
      </c>
      <c r="AB433" s="9">
        <v>7</v>
      </c>
      <c r="AC433" s="9">
        <v>14</v>
      </c>
      <c r="AD433" s="9" t="s">
        <v>0</v>
      </c>
      <c r="AE433" s="9" t="s">
        <v>60</v>
      </c>
    </row>
    <row r="434" spans="1:31" ht="25.5" x14ac:dyDescent="0.2">
      <c r="A434" s="6" t="str">
        <f>HYPERLINK("http://www.patentics.cn/invokexml.do?sx=showpatent_cn&amp;sf=ShowPatent&amp;spn=CN102665335&amp;sx=showpatent_cn&amp;sv=24381cf4cd5c8eb403d8f68f6ecc27d8","CN102665335")</f>
        <v>CN102665335</v>
      </c>
      <c r="B434" s="7" t="s">
        <v>2113</v>
      </c>
      <c r="C434" s="7" t="s">
        <v>2114</v>
      </c>
      <c r="D434" s="7" t="s">
        <v>2115</v>
      </c>
      <c r="E434" s="7" t="s">
        <v>2115</v>
      </c>
      <c r="F434" s="7" t="s">
        <v>2116</v>
      </c>
      <c r="G434" s="7" t="s">
        <v>2117</v>
      </c>
      <c r="H434" s="7" t="s">
        <v>0</v>
      </c>
      <c r="I434" s="7" t="s">
        <v>2118</v>
      </c>
      <c r="J434" s="7" t="s">
        <v>1423</v>
      </c>
      <c r="K434" s="7" t="s">
        <v>2119</v>
      </c>
      <c r="L434" s="7" t="s">
        <v>2120</v>
      </c>
      <c r="M434" s="7">
        <v>6</v>
      </c>
      <c r="N434" s="7">
        <v>7</v>
      </c>
      <c r="O434" s="7" t="s">
        <v>42</v>
      </c>
      <c r="P434" s="7" t="s">
        <v>43</v>
      </c>
      <c r="Q434" s="7">
        <v>0</v>
      </c>
      <c r="R434" s="7">
        <v>0</v>
      </c>
      <c r="S434" s="7">
        <v>0</v>
      </c>
      <c r="T434" s="7">
        <v>0</v>
      </c>
      <c r="U434" s="7">
        <v>5</v>
      </c>
      <c r="V434" s="7" t="s">
        <v>1767</v>
      </c>
      <c r="W434" s="7">
        <v>0</v>
      </c>
      <c r="X434" s="7">
        <v>5</v>
      </c>
      <c r="Y434" s="7">
        <v>2</v>
      </c>
      <c r="Z434" s="7">
        <v>2</v>
      </c>
      <c r="AA434" s="7">
        <v>0</v>
      </c>
      <c r="AB434" s="7">
        <v>0</v>
      </c>
      <c r="AC434" s="7" t="s">
        <v>0</v>
      </c>
      <c r="AD434" s="7">
        <v>3</v>
      </c>
      <c r="AE434" s="7" t="s">
        <v>45</v>
      </c>
    </row>
    <row r="435" spans="1:31" ht="51" x14ac:dyDescent="0.2">
      <c r="A435" s="8" t="str">
        <f>HYPERLINK("http://www.patentics.cn/invokexml.do?sx=showpatent_cn&amp;sf=ShowPatent&amp;spn=US9509763&amp;sx=showpatent_cn&amp;sv=97b2cd4a7676c248ff33acee5b4093ef","US9509763")</f>
        <v>US9509763</v>
      </c>
      <c r="B435" s="9" t="s">
        <v>2121</v>
      </c>
      <c r="C435" s="9" t="s">
        <v>2122</v>
      </c>
      <c r="D435" s="9" t="s">
        <v>48</v>
      </c>
      <c r="E435" s="9" t="s">
        <v>49</v>
      </c>
      <c r="F435" s="9" t="s">
        <v>2123</v>
      </c>
      <c r="G435" s="9" t="s">
        <v>2123</v>
      </c>
      <c r="H435" s="9" t="s">
        <v>2124</v>
      </c>
      <c r="I435" s="9" t="s">
        <v>2125</v>
      </c>
      <c r="J435" s="9" t="s">
        <v>2126</v>
      </c>
      <c r="K435" s="9" t="s">
        <v>885</v>
      </c>
      <c r="L435" s="9" t="s">
        <v>1014</v>
      </c>
      <c r="M435" s="9">
        <v>30</v>
      </c>
      <c r="N435" s="9">
        <v>18</v>
      </c>
      <c r="O435" s="9" t="s">
        <v>57</v>
      </c>
      <c r="P435" s="9" t="s">
        <v>58</v>
      </c>
      <c r="Q435" s="9">
        <v>47</v>
      </c>
      <c r="R435" s="9">
        <v>6</v>
      </c>
      <c r="S435" s="9">
        <v>41</v>
      </c>
      <c r="T435" s="9">
        <v>28</v>
      </c>
      <c r="U435" s="9">
        <v>2</v>
      </c>
      <c r="V435" s="9" t="s">
        <v>1236</v>
      </c>
      <c r="W435" s="9">
        <v>1</v>
      </c>
      <c r="X435" s="9">
        <v>1</v>
      </c>
      <c r="Y435" s="9">
        <v>2</v>
      </c>
      <c r="Z435" s="9">
        <v>1</v>
      </c>
      <c r="AA435" s="9">
        <v>30</v>
      </c>
      <c r="AB435" s="9">
        <v>7</v>
      </c>
      <c r="AC435" s="9">
        <v>14</v>
      </c>
      <c r="AD435" s="9" t="s">
        <v>0</v>
      </c>
      <c r="AE435" s="9" t="s">
        <v>60</v>
      </c>
    </row>
    <row r="436" spans="1:31" ht="140.25" x14ac:dyDescent="0.2">
      <c r="A436" s="8" t="str">
        <f>HYPERLINK("http://www.patentics.cn/invokexml.do?sx=showpatent_cn&amp;sf=ShowPatent&amp;spn=US9679491&amp;sx=showpatent_cn&amp;sv=786088a06c98c23a9b7748824ff48a52","US9679491")</f>
        <v>US9679491</v>
      </c>
      <c r="B436" s="9" t="s">
        <v>2127</v>
      </c>
      <c r="C436" s="9" t="s">
        <v>2128</v>
      </c>
      <c r="D436" s="9" t="s">
        <v>48</v>
      </c>
      <c r="E436" s="9" t="s">
        <v>49</v>
      </c>
      <c r="F436" s="9" t="s">
        <v>2129</v>
      </c>
      <c r="G436" s="9" t="s">
        <v>2123</v>
      </c>
      <c r="H436" s="9" t="s">
        <v>2124</v>
      </c>
      <c r="I436" s="9" t="s">
        <v>2125</v>
      </c>
      <c r="J436" s="9" t="s">
        <v>2130</v>
      </c>
      <c r="K436" s="9" t="s">
        <v>885</v>
      </c>
      <c r="L436" s="9" t="s">
        <v>907</v>
      </c>
      <c r="M436" s="9">
        <v>30</v>
      </c>
      <c r="N436" s="9">
        <v>27</v>
      </c>
      <c r="O436" s="9" t="s">
        <v>57</v>
      </c>
      <c r="P436" s="9" t="s">
        <v>58</v>
      </c>
      <c r="Q436" s="9">
        <v>73</v>
      </c>
      <c r="R436" s="9">
        <v>19</v>
      </c>
      <c r="S436" s="9">
        <v>54</v>
      </c>
      <c r="T436" s="9">
        <v>35</v>
      </c>
      <c r="U436" s="9">
        <v>0</v>
      </c>
      <c r="V436" s="9" t="s">
        <v>114</v>
      </c>
      <c r="W436" s="9">
        <v>0</v>
      </c>
      <c r="X436" s="9">
        <v>0</v>
      </c>
      <c r="Y436" s="9">
        <v>0</v>
      </c>
      <c r="Z436" s="9">
        <v>0</v>
      </c>
      <c r="AA436" s="9">
        <v>30</v>
      </c>
      <c r="AB436" s="9">
        <v>7</v>
      </c>
      <c r="AC436" s="9">
        <v>14</v>
      </c>
      <c r="AD436" s="9" t="s">
        <v>0</v>
      </c>
      <c r="AE436" s="9" t="s">
        <v>60</v>
      </c>
    </row>
    <row r="437" spans="1:31" ht="51" x14ac:dyDescent="0.2">
      <c r="A437" s="8" t="str">
        <f>HYPERLINK("http://www.patentics.cn/invokexml.do?sx=showpatent_cn&amp;sf=ShowPatent&amp;spn=US9747554&amp;sx=showpatent_cn&amp;sv=0f55861d97a6f32d5aede5246b0ca35c","US9747554")</f>
        <v>US9747554</v>
      </c>
      <c r="B437" s="9" t="s">
        <v>2131</v>
      </c>
      <c r="C437" s="9" t="s">
        <v>2132</v>
      </c>
      <c r="D437" s="9" t="s">
        <v>48</v>
      </c>
      <c r="E437" s="9" t="s">
        <v>49</v>
      </c>
      <c r="F437" s="9" t="s">
        <v>2123</v>
      </c>
      <c r="G437" s="9" t="s">
        <v>2123</v>
      </c>
      <c r="H437" s="9" t="s">
        <v>2124</v>
      </c>
      <c r="I437" s="9" t="s">
        <v>2125</v>
      </c>
      <c r="J437" s="9" t="s">
        <v>1332</v>
      </c>
      <c r="K437" s="9" t="s">
        <v>869</v>
      </c>
      <c r="L437" s="9" t="s">
        <v>2133</v>
      </c>
      <c r="M437" s="9">
        <v>88</v>
      </c>
      <c r="N437" s="9">
        <v>19</v>
      </c>
      <c r="O437" s="9" t="s">
        <v>57</v>
      </c>
      <c r="P437" s="9" t="s">
        <v>58</v>
      </c>
      <c r="Q437" s="9">
        <v>66</v>
      </c>
      <c r="R437" s="9">
        <v>17</v>
      </c>
      <c r="S437" s="9">
        <v>49</v>
      </c>
      <c r="T437" s="9">
        <v>35</v>
      </c>
      <c r="U437" s="9">
        <v>0</v>
      </c>
      <c r="V437" s="9" t="s">
        <v>114</v>
      </c>
      <c r="W437" s="9">
        <v>0</v>
      </c>
      <c r="X437" s="9">
        <v>0</v>
      </c>
      <c r="Y437" s="9">
        <v>0</v>
      </c>
      <c r="Z437" s="9">
        <v>0</v>
      </c>
      <c r="AA437" s="9">
        <v>30</v>
      </c>
      <c r="AB437" s="9">
        <v>7</v>
      </c>
      <c r="AC437" s="9">
        <v>14</v>
      </c>
      <c r="AD437" s="9" t="s">
        <v>0</v>
      </c>
      <c r="AE437" s="9" t="s">
        <v>60</v>
      </c>
    </row>
    <row r="438" spans="1:31" ht="51" x14ac:dyDescent="0.2">
      <c r="A438" s="6" t="str">
        <f>HYPERLINK("http://www.patentics.cn/invokexml.do?sx=showpatent_cn&amp;sf=ShowPatent&amp;spn=CN102076072&amp;sx=showpatent_cn&amp;sv=29e65c038d246026a5b569623a95e70d","CN102076072")</f>
        <v>CN102076072</v>
      </c>
      <c r="B438" s="7" t="s">
        <v>2134</v>
      </c>
      <c r="C438" s="7" t="s">
        <v>2135</v>
      </c>
      <c r="D438" s="7" t="s">
        <v>1097</v>
      </c>
      <c r="E438" s="7" t="s">
        <v>1097</v>
      </c>
      <c r="F438" s="7" t="s">
        <v>2136</v>
      </c>
      <c r="G438" s="7" t="s">
        <v>2137</v>
      </c>
      <c r="H438" s="7" t="s">
        <v>2138</v>
      </c>
      <c r="I438" s="7" t="s">
        <v>2138</v>
      </c>
      <c r="J438" s="7" t="s">
        <v>2139</v>
      </c>
      <c r="K438" s="7" t="s">
        <v>55</v>
      </c>
      <c r="L438" s="7" t="s">
        <v>2140</v>
      </c>
      <c r="M438" s="7">
        <v>10</v>
      </c>
      <c r="N438" s="7">
        <v>28</v>
      </c>
      <c r="O438" s="7" t="s">
        <v>42</v>
      </c>
      <c r="P438" s="7" t="s">
        <v>43</v>
      </c>
      <c r="Q438" s="7">
        <v>1</v>
      </c>
      <c r="R438" s="7">
        <v>0</v>
      </c>
      <c r="S438" s="7">
        <v>1</v>
      </c>
      <c r="T438" s="7">
        <v>1</v>
      </c>
      <c r="U438" s="7">
        <v>14</v>
      </c>
      <c r="V438" s="7" t="s">
        <v>2141</v>
      </c>
      <c r="W438" s="7">
        <v>3</v>
      </c>
      <c r="X438" s="7">
        <v>11</v>
      </c>
      <c r="Y438" s="7">
        <v>7</v>
      </c>
      <c r="Z438" s="7">
        <v>3</v>
      </c>
      <c r="AA438" s="7">
        <v>2</v>
      </c>
      <c r="AB438" s="7">
        <v>2</v>
      </c>
      <c r="AC438" s="7" t="s">
        <v>0</v>
      </c>
      <c r="AD438" s="7">
        <v>3</v>
      </c>
      <c r="AE438" s="7" t="s">
        <v>60</v>
      </c>
    </row>
    <row r="439" spans="1:31" ht="89.25" x14ac:dyDescent="0.2">
      <c r="A439" s="8" t="str">
        <f>HYPERLINK("http://www.patentics.cn/invokexml.do?sx=showpatent_cn&amp;sf=ShowPatent&amp;spn=US9515808&amp;sx=showpatent_cn&amp;sv=31a81fd7d822b9bb47700911d6561df1","US9515808")</f>
        <v>US9515808</v>
      </c>
      <c r="B439" s="9" t="s">
        <v>2142</v>
      </c>
      <c r="C439" s="9" t="s">
        <v>2143</v>
      </c>
      <c r="D439" s="9" t="s">
        <v>48</v>
      </c>
      <c r="E439" s="9" t="s">
        <v>49</v>
      </c>
      <c r="F439" s="9" t="s">
        <v>2144</v>
      </c>
      <c r="G439" s="9" t="s">
        <v>2145</v>
      </c>
      <c r="H439" s="9" t="s">
        <v>2146</v>
      </c>
      <c r="I439" s="9" t="s">
        <v>2147</v>
      </c>
      <c r="J439" s="9" t="s">
        <v>2148</v>
      </c>
      <c r="K439" s="9" t="s">
        <v>68</v>
      </c>
      <c r="L439" s="9" t="s">
        <v>160</v>
      </c>
      <c r="M439" s="9">
        <v>78</v>
      </c>
      <c r="N439" s="9">
        <v>16</v>
      </c>
      <c r="O439" s="9" t="s">
        <v>57</v>
      </c>
      <c r="P439" s="9" t="s">
        <v>58</v>
      </c>
      <c r="Q439" s="9">
        <v>32</v>
      </c>
      <c r="R439" s="9">
        <v>3</v>
      </c>
      <c r="S439" s="9">
        <v>29</v>
      </c>
      <c r="T439" s="9">
        <v>12</v>
      </c>
      <c r="U439" s="9">
        <v>0</v>
      </c>
      <c r="V439" s="9" t="s">
        <v>114</v>
      </c>
      <c r="W439" s="9">
        <v>0</v>
      </c>
      <c r="X439" s="9">
        <v>0</v>
      </c>
      <c r="Y439" s="9">
        <v>0</v>
      </c>
      <c r="Z439" s="9">
        <v>0</v>
      </c>
      <c r="AA439" s="9">
        <v>23</v>
      </c>
      <c r="AB439" s="9">
        <v>13</v>
      </c>
      <c r="AC439" s="9">
        <v>14</v>
      </c>
      <c r="AD439" s="9" t="s">
        <v>0</v>
      </c>
      <c r="AE439" s="9" t="s">
        <v>60</v>
      </c>
    </row>
    <row r="440" spans="1:31" ht="63.75" x14ac:dyDescent="0.2">
      <c r="A440" s="8" t="str">
        <f>HYPERLINK("http://www.patentics.cn/invokexml.do?sx=showpatent_cn&amp;sf=ShowPatent&amp;spn=CN103797747B&amp;sx=showpatent_cn&amp;sv=684912ff99f10b5125aa07aa9cef719c","CN103797747B")</f>
        <v>CN103797747B</v>
      </c>
      <c r="B440" s="9" t="s">
        <v>2149</v>
      </c>
      <c r="C440" s="9" t="s">
        <v>2150</v>
      </c>
      <c r="D440" s="9" t="s">
        <v>301</v>
      </c>
      <c r="E440" s="9" t="s">
        <v>301</v>
      </c>
      <c r="F440" s="9" t="s">
        <v>2151</v>
      </c>
      <c r="G440" s="9" t="s">
        <v>2152</v>
      </c>
      <c r="H440" s="9" t="s">
        <v>2146</v>
      </c>
      <c r="I440" s="9" t="s">
        <v>2153</v>
      </c>
      <c r="J440" s="9" t="s">
        <v>2154</v>
      </c>
      <c r="K440" s="9" t="s">
        <v>68</v>
      </c>
      <c r="L440" s="9" t="s">
        <v>160</v>
      </c>
      <c r="M440" s="9">
        <v>56</v>
      </c>
      <c r="N440" s="9">
        <v>16</v>
      </c>
      <c r="O440" s="9" t="s">
        <v>57</v>
      </c>
      <c r="P440" s="9" t="s">
        <v>58</v>
      </c>
      <c r="Q440" s="9">
        <v>6</v>
      </c>
      <c r="R440" s="9">
        <v>0</v>
      </c>
      <c r="S440" s="9">
        <v>6</v>
      </c>
      <c r="T440" s="9">
        <v>5</v>
      </c>
      <c r="U440" s="9">
        <v>8</v>
      </c>
      <c r="V440" s="9" t="s">
        <v>114</v>
      </c>
      <c r="W440" s="9">
        <v>0</v>
      </c>
      <c r="X440" s="9">
        <v>8</v>
      </c>
      <c r="Y440" s="9">
        <v>0</v>
      </c>
      <c r="Z440" s="9">
        <v>1</v>
      </c>
      <c r="AA440" s="9">
        <v>23</v>
      </c>
      <c r="AB440" s="9">
        <v>13</v>
      </c>
      <c r="AC440" s="9">
        <v>14</v>
      </c>
      <c r="AD440" s="9" t="s">
        <v>0</v>
      </c>
      <c r="AE440" s="9" t="s">
        <v>60</v>
      </c>
    </row>
    <row r="441" spans="1:31" ht="63.75" x14ac:dyDescent="0.2">
      <c r="A441" s="8" t="str">
        <f>HYPERLINK("http://www.patentics.cn/invokexml.do?sx=showpatent_cn&amp;sf=ShowPatent&amp;spn=CN103797747&amp;sx=showpatent_cn&amp;sv=50042edc5d14e23cdcb26f9c88459760","CN103797747")</f>
        <v>CN103797747</v>
      </c>
      <c r="B441" s="9" t="s">
        <v>2149</v>
      </c>
      <c r="C441" s="9" t="s">
        <v>2150</v>
      </c>
      <c r="D441" s="9" t="s">
        <v>301</v>
      </c>
      <c r="E441" s="9" t="s">
        <v>301</v>
      </c>
      <c r="F441" s="9" t="s">
        <v>2151</v>
      </c>
      <c r="G441" s="9" t="s">
        <v>2152</v>
      </c>
      <c r="H441" s="9" t="s">
        <v>2146</v>
      </c>
      <c r="I441" s="9" t="s">
        <v>2153</v>
      </c>
      <c r="J441" s="9" t="s">
        <v>2155</v>
      </c>
      <c r="K441" s="9" t="s">
        <v>68</v>
      </c>
      <c r="L441" s="9" t="s">
        <v>160</v>
      </c>
      <c r="M441" s="9">
        <v>60</v>
      </c>
      <c r="N441" s="9">
        <v>15</v>
      </c>
      <c r="O441" s="9" t="s">
        <v>42</v>
      </c>
      <c r="P441" s="9" t="s">
        <v>58</v>
      </c>
      <c r="Q441" s="9">
        <v>6</v>
      </c>
      <c r="R441" s="9">
        <v>0</v>
      </c>
      <c r="S441" s="9">
        <v>6</v>
      </c>
      <c r="T441" s="9">
        <v>5</v>
      </c>
      <c r="U441" s="9">
        <v>8</v>
      </c>
      <c r="V441" s="9" t="s">
        <v>114</v>
      </c>
      <c r="W441" s="9">
        <v>0</v>
      </c>
      <c r="X441" s="9">
        <v>8</v>
      </c>
      <c r="Y441" s="9">
        <v>0</v>
      </c>
      <c r="Z441" s="9">
        <v>1</v>
      </c>
      <c r="AA441" s="9">
        <v>23</v>
      </c>
      <c r="AB441" s="9">
        <v>13</v>
      </c>
      <c r="AC441" s="9">
        <v>14</v>
      </c>
      <c r="AD441" s="9" t="s">
        <v>0</v>
      </c>
      <c r="AE441" s="9" t="s">
        <v>60</v>
      </c>
    </row>
    <row r="442" spans="1:31" ht="38.25" x14ac:dyDescent="0.2">
      <c r="A442" s="6" t="str">
        <f>HYPERLINK("http://www.patentics.cn/invokexml.do?sx=showpatent_cn&amp;sf=ShowPatent&amp;spn=CN101986348&amp;sx=showpatent_cn&amp;sv=ff57e1b39be7dd7307599aed25fa59eb","CN101986348")</f>
        <v>CN101986348</v>
      </c>
      <c r="B442" s="7" t="s">
        <v>2156</v>
      </c>
      <c r="C442" s="7" t="s">
        <v>2157</v>
      </c>
      <c r="D442" s="7" t="s">
        <v>2158</v>
      </c>
      <c r="E442" s="7" t="s">
        <v>2158</v>
      </c>
      <c r="F442" s="7" t="s">
        <v>2159</v>
      </c>
      <c r="G442" s="7" t="s">
        <v>2160</v>
      </c>
      <c r="H442" s="7" t="s">
        <v>0</v>
      </c>
      <c r="I442" s="7" t="s">
        <v>2161</v>
      </c>
      <c r="J442" s="7" t="s">
        <v>2162</v>
      </c>
      <c r="K442" s="7" t="s">
        <v>2163</v>
      </c>
      <c r="L442" s="7" t="s">
        <v>2164</v>
      </c>
      <c r="M442" s="7">
        <v>12</v>
      </c>
      <c r="N442" s="7">
        <v>9</v>
      </c>
      <c r="O442" s="7" t="s">
        <v>42</v>
      </c>
      <c r="P442" s="7" t="s">
        <v>43</v>
      </c>
      <c r="Q442" s="7">
        <v>0</v>
      </c>
      <c r="R442" s="7">
        <v>0</v>
      </c>
      <c r="S442" s="7">
        <v>0</v>
      </c>
      <c r="T442" s="7">
        <v>0</v>
      </c>
      <c r="U442" s="7">
        <v>11</v>
      </c>
      <c r="V442" s="7" t="s">
        <v>2165</v>
      </c>
      <c r="W442" s="7">
        <v>0</v>
      </c>
      <c r="X442" s="7">
        <v>11</v>
      </c>
      <c r="Y442" s="7">
        <v>5</v>
      </c>
      <c r="Z442" s="7">
        <v>4</v>
      </c>
      <c r="AA442" s="7">
        <v>0</v>
      </c>
      <c r="AB442" s="7">
        <v>0</v>
      </c>
      <c r="AC442" s="7" t="s">
        <v>0</v>
      </c>
      <c r="AD442" s="7">
        <v>3</v>
      </c>
      <c r="AE442" s="7" t="s">
        <v>45</v>
      </c>
    </row>
    <row r="443" spans="1:31" ht="51" x14ac:dyDescent="0.2">
      <c r="A443" s="8" t="str">
        <f>HYPERLINK("http://www.patentics.cn/invokexml.do?sx=showpatent_cn&amp;sf=ShowPatent&amp;spn=US9256956&amp;sx=showpatent_cn&amp;sv=e846608ff66491d4c4831e174b8e092f","US9256956")</f>
        <v>US9256956</v>
      </c>
      <c r="B443" s="9" t="s">
        <v>2166</v>
      </c>
      <c r="C443" s="9" t="s">
        <v>2167</v>
      </c>
      <c r="D443" s="9" t="s">
        <v>48</v>
      </c>
      <c r="E443" s="9" t="s">
        <v>49</v>
      </c>
      <c r="F443" s="9" t="s">
        <v>2168</v>
      </c>
      <c r="G443" s="9" t="s">
        <v>2169</v>
      </c>
      <c r="H443" s="9" t="s">
        <v>2170</v>
      </c>
      <c r="I443" s="9" t="s">
        <v>2171</v>
      </c>
      <c r="J443" s="9" t="s">
        <v>896</v>
      </c>
      <c r="K443" s="9" t="s">
        <v>529</v>
      </c>
      <c r="L443" s="9" t="s">
        <v>1445</v>
      </c>
      <c r="M443" s="9">
        <v>26</v>
      </c>
      <c r="N443" s="9">
        <v>11</v>
      </c>
      <c r="O443" s="9" t="s">
        <v>57</v>
      </c>
      <c r="P443" s="9" t="s">
        <v>58</v>
      </c>
      <c r="Q443" s="9">
        <v>36</v>
      </c>
      <c r="R443" s="9">
        <v>0</v>
      </c>
      <c r="S443" s="9">
        <v>36</v>
      </c>
      <c r="T443" s="9">
        <v>27</v>
      </c>
      <c r="U443" s="9">
        <v>1</v>
      </c>
      <c r="V443" s="9" t="s">
        <v>82</v>
      </c>
      <c r="W443" s="9">
        <v>1</v>
      </c>
      <c r="X443" s="9">
        <v>0</v>
      </c>
      <c r="Y443" s="9">
        <v>1</v>
      </c>
      <c r="Z443" s="9">
        <v>1</v>
      </c>
      <c r="AA443" s="9">
        <v>7</v>
      </c>
      <c r="AB443" s="9">
        <v>6</v>
      </c>
      <c r="AC443" s="9">
        <v>14</v>
      </c>
      <c r="AD443" s="9" t="s">
        <v>0</v>
      </c>
      <c r="AE443" s="9" t="s">
        <v>60</v>
      </c>
    </row>
    <row r="444" spans="1:31" ht="51" x14ac:dyDescent="0.2">
      <c r="A444" s="8" t="str">
        <f>HYPERLINK("http://www.patentics.cn/invokexml.do?sx=showpatent_cn&amp;sf=ShowPatent&amp;spn=US9785836&amp;sx=showpatent_cn&amp;sv=6be298ec6f157b463f9df899b166cdb5","US9785836")</f>
        <v>US9785836</v>
      </c>
      <c r="B444" s="9" t="s">
        <v>2172</v>
      </c>
      <c r="C444" s="9" t="s">
        <v>2167</v>
      </c>
      <c r="D444" s="9" t="s">
        <v>48</v>
      </c>
      <c r="E444" s="9" t="s">
        <v>49</v>
      </c>
      <c r="F444" s="9" t="s">
        <v>2168</v>
      </c>
      <c r="G444" s="9" t="s">
        <v>2169</v>
      </c>
      <c r="H444" s="9" t="s">
        <v>0</v>
      </c>
      <c r="I444" s="9" t="s">
        <v>2173</v>
      </c>
      <c r="J444" s="9" t="s">
        <v>414</v>
      </c>
      <c r="K444" s="9" t="s">
        <v>529</v>
      </c>
      <c r="L444" s="9" t="s">
        <v>1445</v>
      </c>
      <c r="M444" s="9">
        <v>22</v>
      </c>
      <c r="N444" s="9">
        <v>18</v>
      </c>
      <c r="O444" s="9" t="s">
        <v>57</v>
      </c>
      <c r="P444" s="9" t="s">
        <v>58</v>
      </c>
      <c r="Q444" s="9">
        <v>43</v>
      </c>
      <c r="R444" s="9">
        <v>2</v>
      </c>
      <c r="S444" s="9">
        <v>41</v>
      </c>
      <c r="T444" s="9">
        <v>31</v>
      </c>
      <c r="U444" s="9">
        <v>0</v>
      </c>
      <c r="V444" s="9" t="s">
        <v>114</v>
      </c>
      <c r="W444" s="9">
        <v>0</v>
      </c>
      <c r="X444" s="9">
        <v>0</v>
      </c>
      <c r="Y444" s="9">
        <v>0</v>
      </c>
      <c r="Z444" s="9">
        <v>0</v>
      </c>
      <c r="AA444" s="9">
        <v>0</v>
      </c>
      <c r="AB444" s="9">
        <v>0</v>
      </c>
      <c r="AC444" s="9">
        <v>14</v>
      </c>
      <c r="AD444" s="9" t="s">
        <v>0</v>
      </c>
      <c r="AE444" s="9" t="s">
        <v>60</v>
      </c>
    </row>
    <row r="445" spans="1:31" ht="25.5" x14ac:dyDescent="0.2">
      <c r="A445" s="8" t="str">
        <f>HYPERLINK("http://www.patentics.cn/invokexml.do?sx=showpatent_cn&amp;sf=ShowPatent&amp;spn=CN103003843B&amp;sx=showpatent_cn&amp;sv=53a476d478b14aa646390fe97f11be89","CN103003843B")</f>
        <v>CN103003843B</v>
      </c>
      <c r="B445" s="9" t="s">
        <v>2174</v>
      </c>
      <c r="C445" s="9" t="s">
        <v>2175</v>
      </c>
      <c r="D445" s="9" t="s">
        <v>301</v>
      </c>
      <c r="E445" s="9" t="s">
        <v>301</v>
      </c>
      <c r="F445" s="9" t="s">
        <v>2176</v>
      </c>
      <c r="G445" s="9" t="s">
        <v>2177</v>
      </c>
      <c r="H445" s="9" t="s">
        <v>2170</v>
      </c>
      <c r="I445" s="9" t="s">
        <v>2171</v>
      </c>
      <c r="J445" s="9" t="s">
        <v>2178</v>
      </c>
      <c r="K445" s="9" t="s">
        <v>2163</v>
      </c>
      <c r="L445" s="9" t="s">
        <v>2164</v>
      </c>
      <c r="M445" s="9">
        <v>33</v>
      </c>
      <c r="N445" s="9">
        <v>11</v>
      </c>
      <c r="O445" s="9" t="s">
        <v>57</v>
      </c>
      <c r="P445" s="9" t="s">
        <v>58</v>
      </c>
      <c r="Q445" s="9">
        <v>3</v>
      </c>
      <c r="R445" s="9">
        <v>0</v>
      </c>
      <c r="S445" s="9">
        <v>3</v>
      </c>
      <c r="T445" s="9">
        <v>3</v>
      </c>
      <c r="U445" s="9">
        <v>0</v>
      </c>
      <c r="V445" s="9" t="s">
        <v>114</v>
      </c>
      <c r="W445" s="9">
        <v>0</v>
      </c>
      <c r="X445" s="9">
        <v>0</v>
      </c>
      <c r="Y445" s="9">
        <v>0</v>
      </c>
      <c r="Z445" s="9">
        <v>0</v>
      </c>
      <c r="AA445" s="9">
        <v>0</v>
      </c>
      <c r="AB445" s="9">
        <v>0</v>
      </c>
      <c r="AC445" s="9">
        <v>14</v>
      </c>
      <c r="AD445" s="9" t="s">
        <v>0</v>
      </c>
      <c r="AE445" s="9" t="s">
        <v>60</v>
      </c>
    </row>
    <row r="446" spans="1:31" ht="63.75" x14ac:dyDescent="0.2">
      <c r="A446" s="6" t="str">
        <f>HYPERLINK("http://www.patentics.cn/invokexml.do?sx=showpatent_cn&amp;sf=ShowPatent&amp;spn=CN201699986&amp;sx=showpatent_cn&amp;sv=195e0fc80d3934fe270a338104b5998f","CN201699986")</f>
        <v>CN201699986</v>
      </c>
      <c r="B446" s="7" t="s">
        <v>2179</v>
      </c>
      <c r="C446" s="7" t="s">
        <v>2180</v>
      </c>
      <c r="D446" s="7" t="s">
        <v>2181</v>
      </c>
      <c r="E446" s="7" t="s">
        <v>2181</v>
      </c>
      <c r="F446" s="7" t="s">
        <v>2182</v>
      </c>
      <c r="G446" s="7" t="s">
        <v>2183</v>
      </c>
      <c r="H446" s="7" t="s">
        <v>0</v>
      </c>
      <c r="I446" s="7" t="s">
        <v>2184</v>
      </c>
      <c r="J446" s="7" t="s">
        <v>767</v>
      </c>
      <c r="K446" s="7" t="s">
        <v>55</v>
      </c>
      <c r="L446" s="7" t="s">
        <v>975</v>
      </c>
      <c r="M446" s="7">
        <v>3</v>
      </c>
      <c r="N446" s="7">
        <v>22</v>
      </c>
      <c r="O446" s="7" t="s">
        <v>2185</v>
      </c>
      <c r="P446" s="7" t="s">
        <v>43</v>
      </c>
      <c r="Q446" s="7">
        <v>0</v>
      </c>
      <c r="R446" s="7">
        <v>0</v>
      </c>
      <c r="S446" s="7">
        <v>0</v>
      </c>
      <c r="T446" s="7">
        <v>0</v>
      </c>
      <c r="U446" s="7">
        <v>6</v>
      </c>
      <c r="V446" s="7" t="s">
        <v>2186</v>
      </c>
      <c r="W446" s="7">
        <v>0</v>
      </c>
      <c r="X446" s="7">
        <v>6</v>
      </c>
      <c r="Y446" s="7">
        <v>2</v>
      </c>
      <c r="Z446" s="7">
        <v>3</v>
      </c>
      <c r="AA446" s="7">
        <v>0</v>
      </c>
      <c r="AB446" s="7">
        <v>0</v>
      </c>
      <c r="AC446" s="7" t="s">
        <v>0</v>
      </c>
      <c r="AD446" s="7">
        <v>3</v>
      </c>
      <c r="AE446" s="7" t="s">
        <v>532</v>
      </c>
    </row>
    <row r="447" spans="1:31" ht="51" x14ac:dyDescent="0.2">
      <c r="A447" s="8" t="str">
        <f>HYPERLINK("http://www.patentics.cn/invokexml.do?sx=showpatent_cn&amp;sf=ShowPatent&amp;spn=US9081080&amp;sx=showpatent_cn&amp;sv=ce50263c7398eb2012bd5c48a8cc10c7","US9081080")</f>
        <v>US9081080</v>
      </c>
      <c r="B447" s="9" t="s">
        <v>1712</v>
      </c>
      <c r="C447" s="9" t="s">
        <v>1713</v>
      </c>
      <c r="D447" s="9" t="s">
        <v>48</v>
      </c>
      <c r="E447" s="9" t="s">
        <v>49</v>
      </c>
      <c r="F447" s="9" t="s">
        <v>1714</v>
      </c>
      <c r="G447" s="9" t="s">
        <v>952</v>
      </c>
      <c r="H447" s="9" t="s">
        <v>1715</v>
      </c>
      <c r="I447" s="9" t="s">
        <v>1716</v>
      </c>
      <c r="J447" s="9" t="s">
        <v>1072</v>
      </c>
      <c r="K447" s="9" t="s">
        <v>55</v>
      </c>
      <c r="L447" s="9" t="s">
        <v>947</v>
      </c>
      <c r="M447" s="9">
        <v>65</v>
      </c>
      <c r="N447" s="9">
        <v>11</v>
      </c>
      <c r="O447" s="9" t="s">
        <v>57</v>
      </c>
      <c r="P447" s="9" t="s">
        <v>58</v>
      </c>
      <c r="Q447" s="9">
        <v>18</v>
      </c>
      <c r="R447" s="9">
        <v>0</v>
      </c>
      <c r="S447" s="9">
        <v>18</v>
      </c>
      <c r="T447" s="9">
        <v>15</v>
      </c>
      <c r="U447" s="9">
        <v>1</v>
      </c>
      <c r="V447" s="9" t="s">
        <v>466</v>
      </c>
      <c r="W447" s="9">
        <v>0</v>
      </c>
      <c r="X447" s="9">
        <v>1</v>
      </c>
      <c r="Y447" s="9">
        <v>1</v>
      </c>
      <c r="Z447" s="9">
        <v>1</v>
      </c>
      <c r="AA447" s="9">
        <v>17</v>
      </c>
      <c r="AB447" s="9">
        <v>8</v>
      </c>
      <c r="AC447" s="9">
        <v>14</v>
      </c>
      <c r="AD447" s="9" t="s">
        <v>0</v>
      </c>
      <c r="AE447" s="9" t="s">
        <v>60</v>
      </c>
    </row>
    <row r="448" spans="1:31" ht="51" x14ac:dyDescent="0.2">
      <c r="A448" s="8" t="str">
        <f>HYPERLINK("http://www.patentics.cn/invokexml.do?sx=showpatent_cn&amp;sf=ShowPatent&amp;spn=US9560622&amp;sx=showpatent_cn&amp;sv=018c22593118e9d2e33ed4c69bf56d18","US9560622")</f>
        <v>US9560622</v>
      </c>
      <c r="B448" s="9" t="s">
        <v>1717</v>
      </c>
      <c r="C448" s="9" t="s">
        <v>1718</v>
      </c>
      <c r="D448" s="9" t="s">
        <v>48</v>
      </c>
      <c r="E448" s="9" t="s">
        <v>49</v>
      </c>
      <c r="F448" s="9" t="s">
        <v>1714</v>
      </c>
      <c r="G448" s="9" t="s">
        <v>952</v>
      </c>
      <c r="H448" s="9" t="s">
        <v>1715</v>
      </c>
      <c r="I448" s="9" t="s">
        <v>1719</v>
      </c>
      <c r="J448" s="9" t="s">
        <v>1720</v>
      </c>
      <c r="K448" s="9" t="s">
        <v>55</v>
      </c>
      <c r="L448" s="9" t="s">
        <v>1175</v>
      </c>
      <c r="M448" s="9">
        <v>20</v>
      </c>
      <c r="N448" s="9">
        <v>12</v>
      </c>
      <c r="O448" s="9" t="s">
        <v>57</v>
      </c>
      <c r="P448" s="9" t="s">
        <v>58</v>
      </c>
      <c r="Q448" s="9">
        <v>20</v>
      </c>
      <c r="R448" s="9">
        <v>2</v>
      </c>
      <c r="S448" s="9">
        <v>18</v>
      </c>
      <c r="T448" s="9">
        <v>16</v>
      </c>
      <c r="U448" s="9">
        <v>0</v>
      </c>
      <c r="V448" s="9" t="s">
        <v>114</v>
      </c>
      <c r="W448" s="9">
        <v>0</v>
      </c>
      <c r="X448" s="9">
        <v>0</v>
      </c>
      <c r="Y448" s="9">
        <v>0</v>
      </c>
      <c r="Z448" s="9">
        <v>0</v>
      </c>
      <c r="AA448" s="9">
        <v>17</v>
      </c>
      <c r="AB448" s="9">
        <v>8</v>
      </c>
      <c r="AC448" s="9">
        <v>14</v>
      </c>
      <c r="AD448" s="9" t="s">
        <v>0</v>
      </c>
      <c r="AE448" s="9" t="s">
        <v>60</v>
      </c>
    </row>
    <row r="449" spans="1:31" ht="51" x14ac:dyDescent="0.2">
      <c r="A449" s="8" t="str">
        <f>HYPERLINK("http://www.patentics.cn/invokexml.do?sx=showpatent_cn&amp;sf=ShowPatent&amp;spn=TWI462619&amp;sx=showpatent_cn&amp;sv=0b123e2b49108f1c3c3a7606701cc588","TWI462619")</f>
        <v>TWI462619</v>
      </c>
      <c r="B449" s="9" t="s">
        <v>2187</v>
      </c>
      <c r="C449" s="9" t="s">
        <v>2188</v>
      </c>
      <c r="D449" s="9" t="s">
        <v>2189</v>
      </c>
      <c r="E449" s="9" t="s">
        <v>301</v>
      </c>
      <c r="F449" s="9" t="s">
        <v>2190</v>
      </c>
      <c r="G449" s="9" t="s">
        <v>2191</v>
      </c>
      <c r="H449" s="9" t="s">
        <v>1715</v>
      </c>
      <c r="I449" s="9" t="s">
        <v>2192</v>
      </c>
      <c r="J449" s="9" t="s">
        <v>2193</v>
      </c>
      <c r="K449" s="9" t="s">
        <v>55</v>
      </c>
      <c r="L449" s="9" t="s">
        <v>2194</v>
      </c>
      <c r="M449" s="9">
        <v>65</v>
      </c>
      <c r="N449" s="9">
        <v>16</v>
      </c>
      <c r="O449" s="9" t="s">
        <v>57</v>
      </c>
      <c r="P449" s="9" t="s">
        <v>58</v>
      </c>
      <c r="Q449" s="9">
        <v>5</v>
      </c>
      <c r="R449" s="9">
        <v>0</v>
      </c>
      <c r="S449" s="9">
        <v>5</v>
      </c>
      <c r="T449" s="9">
        <v>5</v>
      </c>
      <c r="U449" s="9">
        <v>0</v>
      </c>
      <c r="V449" s="9" t="s">
        <v>114</v>
      </c>
      <c r="W449" s="9">
        <v>0</v>
      </c>
      <c r="X449" s="9">
        <v>0</v>
      </c>
      <c r="Y449" s="9">
        <v>0</v>
      </c>
      <c r="Z449" s="9">
        <v>0</v>
      </c>
      <c r="AA449" s="9">
        <v>17</v>
      </c>
      <c r="AB449" s="9">
        <v>8</v>
      </c>
      <c r="AC449" s="9">
        <v>14</v>
      </c>
      <c r="AD449" s="9" t="s">
        <v>0</v>
      </c>
      <c r="AE449" s="9" t="s">
        <v>0</v>
      </c>
    </row>
    <row r="450" spans="1:31" ht="51" x14ac:dyDescent="0.2">
      <c r="A450" s="6" t="str">
        <f>HYPERLINK("http://www.patentics.cn/invokexml.do?sx=showpatent_cn&amp;sf=ShowPatent&amp;spn=CN101895265&amp;sx=showpatent_cn&amp;sv=047df19b64e210ea4fecbf969f56ffe7","CN101895265")</f>
        <v>CN101895265</v>
      </c>
      <c r="B450" s="7" t="s">
        <v>2195</v>
      </c>
      <c r="C450" s="7" t="s">
        <v>2196</v>
      </c>
      <c r="D450" s="7" t="s">
        <v>524</v>
      </c>
      <c r="E450" s="7" t="s">
        <v>524</v>
      </c>
      <c r="F450" s="7" t="s">
        <v>2197</v>
      </c>
      <c r="G450" s="7" t="s">
        <v>2198</v>
      </c>
      <c r="H450" s="7" t="s">
        <v>0</v>
      </c>
      <c r="I450" s="7" t="s">
        <v>2199</v>
      </c>
      <c r="J450" s="7" t="s">
        <v>1092</v>
      </c>
      <c r="K450" s="7" t="s">
        <v>1993</v>
      </c>
      <c r="L450" s="7" t="s">
        <v>2200</v>
      </c>
      <c r="M450" s="7">
        <v>5</v>
      </c>
      <c r="N450" s="7">
        <v>16</v>
      </c>
      <c r="O450" s="7" t="s">
        <v>42</v>
      </c>
      <c r="P450" s="7" t="s">
        <v>43</v>
      </c>
      <c r="Q450" s="7">
        <v>0</v>
      </c>
      <c r="R450" s="7">
        <v>0</v>
      </c>
      <c r="S450" s="7">
        <v>0</v>
      </c>
      <c r="T450" s="7">
        <v>0</v>
      </c>
      <c r="U450" s="7">
        <v>16</v>
      </c>
      <c r="V450" s="7" t="s">
        <v>2201</v>
      </c>
      <c r="W450" s="7">
        <v>4</v>
      </c>
      <c r="X450" s="7">
        <v>12</v>
      </c>
      <c r="Y450" s="7">
        <v>7</v>
      </c>
      <c r="Z450" s="7">
        <v>3</v>
      </c>
      <c r="AA450" s="7">
        <v>0</v>
      </c>
      <c r="AB450" s="7">
        <v>0</v>
      </c>
      <c r="AC450" s="7" t="s">
        <v>0</v>
      </c>
      <c r="AD450" s="7">
        <v>3</v>
      </c>
      <c r="AE450" s="7" t="s">
        <v>45</v>
      </c>
    </row>
    <row r="451" spans="1:31" ht="38.25" x14ac:dyDescent="0.2">
      <c r="A451" s="8" t="str">
        <f>HYPERLINK("http://www.patentics.cn/invokexml.do?sx=showpatent_cn&amp;sf=ShowPatent&amp;spn=US9240754&amp;sx=showpatent_cn&amp;sv=feab5fbbc1723954207ef773212d330f","US9240754")</f>
        <v>US9240754</v>
      </c>
      <c r="B451" s="9" t="s">
        <v>2202</v>
      </c>
      <c r="C451" s="9" t="s">
        <v>2203</v>
      </c>
      <c r="D451" s="9" t="s">
        <v>2204</v>
      </c>
      <c r="E451" s="9" t="s">
        <v>49</v>
      </c>
      <c r="F451" s="9" t="s">
        <v>2205</v>
      </c>
      <c r="G451" s="9" t="s">
        <v>2205</v>
      </c>
      <c r="H451" s="9" t="s">
        <v>2206</v>
      </c>
      <c r="I451" s="9" t="s">
        <v>2206</v>
      </c>
      <c r="J451" s="9" t="s">
        <v>257</v>
      </c>
      <c r="K451" s="9" t="s">
        <v>2207</v>
      </c>
      <c r="L451" s="9" t="s">
        <v>2208</v>
      </c>
      <c r="M451" s="9">
        <v>8</v>
      </c>
      <c r="N451" s="9">
        <v>14</v>
      </c>
      <c r="O451" s="9" t="s">
        <v>57</v>
      </c>
      <c r="P451" s="9" t="s">
        <v>58</v>
      </c>
      <c r="Q451" s="9">
        <v>43</v>
      </c>
      <c r="R451" s="9">
        <v>2</v>
      </c>
      <c r="S451" s="9">
        <v>41</v>
      </c>
      <c r="T451" s="9">
        <v>31</v>
      </c>
      <c r="U451" s="9">
        <v>0</v>
      </c>
      <c r="V451" s="9" t="s">
        <v>114</v>
      </c>
      <c r="W451" s="9">
        <v>0</v>
      </c>
      <c r="X451" s="9">
        <v>0</v>
      </c>
      <c r="Y451" s="9">
        <v>0</v>
      </c>
      <c r="Z451" s="9">
        <v>0</v>
      </c>
      <c r="AA451" s="9">
        <v>9</v>
      </c>
      <c r="AB451" s="9">
        <v>3</v>
      </c>
      <c r="AC451" s="9">
        <v>14</v>
      </c>
      <c r="AD451" s="9" t="s">
        <v>0</v>
      </c>
      <c r="AE451" s="9" t="s">
        <v>60</v>
      </c>
    </row>
    <row r="452" spans="1:31" ht="38.25" x14ac:dyDescent="0.2">
      <c r="A452" s="8" t="str">
        <f>HYPERLINK("http://www.patentics.cn/invokexml.do?sx=showpatent_cn&amp;sf=ShowPatent&amp;spn=US9391563&amp;sx=showpatent_cn&amp;sv=30276cbd3807b70aef91a84a1d4b3278","US9391563")</f>
        <v>US9391563</v>
      </c>
      <c r="B452" s="9" t="s">
        <v>2209</v>
      </c>
      <c r="C452" s="9" t="s">
        <v>2210</v>
      </c>
      <c r="D452" s="9" t="s">
        <v>2211</v>
      </c>
      <c r="E452" s="9" t="s">
        <v>49</v>
      </c>
      <c r="F452" s="9" t="s">
        <v>2205</v>
      </c>
      <c r="G452" s="9" t="s">
        <v>2205</v>
      </c>
      <c r="H452" s="9" t="s">
        <v>2206</v>
      </c>
      <c r="I452" s="9" t="s">
        <v>1726</v>
      </c>
      <c r="J452" s="9" t="s">
        <v>980</v>
      </c>
      <c r="K452" s="9" t="s">
        <v>1993</v>
      </c>
      <c r="L452" s="9" t="s">
        <v>2212</v>
      </c>
      <c r="M452" s="9">
        <v>16</v>
      </c>
      <c r="N452" s="9">
        <v>10</v>
      </c>
      <c r="O452" s="9" t="s">
        <v>57</v>
      </c>
      <c r="P452" s="9" t="s">
        <v>58</v>
      </c>
      <c r="Q452" s="9">
        <v>46</v>
      </c>
      <c r="R452" s="9">
        <v>2</v>
      </c>
      <c r="S452" s="9">
        <v>44</v>
      </c>
      <c r="T452" s="9">
        <v>33</v>
      </c>
      <c r="U452" s="9">
        <v>0</v>
      </c>
      <c r="V452" s="9" t="s">
        <v>114</v>
      </c>
      <c r="W452" s="9">
        <v>0</v>
      </c>
      <c r="X452" s="9">
        <v>0</v>
      </c>
      <c r="Y452" s="9">
        <v>0</v>
      </c>
      <c r="Z452" s="9">
        <v>0</v>
      </c>
      <c r="AA452" s="9">
        <v>9</v>
      </c>
      <c r="AB452" s="9">
        <v>3</v>
      </c>
      <c r="AC452" s="9">
        <v>14</v>
      </c>
      <c r="AD452" s="9" t="s">
        <v>0</v>
      </c>
      <c r="AE452" s="9" t="s">
        <v>60</v>
      </c>
    </row>
    <row r="453" spans="1:31" ht="76.5" x14ac:dyDescent="0.2">
      <c r="A453" s="8" t="str">
        <f>HYPERLINK("http://www.patentics.cn/invokexml.do?sx=showpatent_cn&amp;sf=ShowPatent&amp;spn=US9442141&amp;sx=showpatent_cn&amp;sv=8ab7cf540319bd5b7d541ac6a8e8a86c","US9442141")</f>
        <v>US9442141</v>
      </c>
      <c r="B453" s="9" t="s">
        <v>2213</v>
      </c>
      <c r="C453" s="9" t="s">
        <v>2214</v>
      </c>
      <c r="D453" s="9" t="s">
        <v>2211</v>
      </c>
      <c r="E453" s="9" t="s">
        <v>49</v>
      </c>
      <c r="F453" s="9" t="s">
        <v>2215</v>
      </c>
      <c r="G453" s="9" t="s">
        <v>2216</v>
      </c>
      <c r="H453" s="9" t="s">
        <v>0</v>
      </c>
      <c r="I453" s="9" t="s">
        <v>1726</v>
      </c>
      <c r="J453" s="9" t="s">
        <v>914</v>
      </c>
      <c r="K453" s="9" t="s">
        <v>2217</v>
      </c>
      <c r="L453" s="9" t="s">
        <v>2218</v>
      </c>
      <c r="M453" s="9">
        <v>20</v>
      </c>
      <c r="N453" s="9">
        <v>10</v>
      </c>
      <c r="O453" s="9" t="s">
        <v>57</v>
      </c>
      <c r="P453" s="9" t="s">
        <v>58</v>
      </c>
      <c r="Q453" s="9">
        <v>46</v>
      </c>
      <c r="R453" s="9">
        <v>2</v>
      </c>
      <c r="S453" s="9">
        <v>44</v>
      </c>
      <c r="T453" s="9">
        <v>33</v>
      </c>
      <c r="U453" s="9">
        <v>0</v>
      </c>
      <c r="V453" s="9" t="s">
        <v>114</v>
      </c>
      <c r="W453" s="9">
        <v>0</v>
      </c>
      <c r="X453" s="9">
        <v>0</v>
      </c>
      <c r="Y453" s="9">
        <v>0</v>
      </c>
      <c r="Z453" s="9">
        <v>0</v>
      </c>
      <c r="AA453" s="9">
        <v>0</v>
      </c>
      <c r="AB453" s="9">
        <v>0</v>
      </c>
      <c r="AC453" s="9">
        <v>14</v>
      </c>
      <c r="AD453" s="9" t="s">
        <v>0</v>
      </c>
      <c r="AE453" s="9" t="s">
        <v>60</v>
      </c>
    </row>
    <row r="454" spans="1:31" ht="25.5" x14ac:dyDescent="0.2">
      <c r="A454" s="6" t="str">
        <f>HYPERLINK("http://www.patentics.cn/invokexml.do?sx=showpatent_cn&amp;sf=ShowPatent&amp;spn=CN101394217&amp;sx=showpatent_cn&amp;sv=34692952743179f2f8e1d5ff854e14fe","CN101394217")</f>
        <v>CN101394217</v>
      </c>
      <c r="B454" s="7" t="s">
        <v>2219</v>
      </c>
      <c r="C454" s="7" t="s">
        <v>2220</v>
      </c>
      <c r="D454" s="7" t="s">
        <v>2221</v>
      </c>
      <c r="E454" s="7" t="s">
        <v>2221</v>
      </c>
      <c r="F454" s="7" t="s">
        <v>2222</v>
      </c>
      <c r="G454" s="7" t="s">
        <v>2223</v>
      </c>
      <c r="H454" s="7" t="s">
        <v>2224</v>
      </c>
      <c r="I454" s="7" t="s">
        <v>2224</v>
      </c>
      <c r="J454" s="7" t="s">
        <v>2225</v>
      </c>
      <c r="K454" s="7" t="s">
        <v>89</v>
      </c>
      <c r="L454" s="7" t="s">
        <v>2226</v>
      </c>
      <c r="M454" s="7">
        <v>12</v>
      </c>
      <c r="N454" s="7">
        <v>13</v>
      </c>
      <c r="O454" s="7" t="s">
        <v>42</v>
      </c>
      <c r="P454" s="7" t="s">
        <v>43</v>
      </c>
      <c r="Q454" s="7">
        <v>0</v>
      </c>
      <c r="R454" s="7">
        <v>0</v>
      </c>
      <c r="S454" s="7">
        <v>0</v>
      </c>
      <c r="T454" s="7">
        <v>0</v>
      </c>
      <c r="U454" s="7">
        <v>4</v>
      </c>
      <c r="V454" s="7" t="s">
        <v>2227</v>
      </c>
      <c r="W454" s="7">
        <v>1</v>
      </c>
      <c r="X454" s="7">
        <v>3</v>
      </c>
      <c r="Y454" s="7">
        <v>2</v>
      </c>
      <c r="Z454" s="7">
        <v>2</v>
      </c>
      <c r="AA454" s="7">
        <v>2</v>
      </c>
      <c r="AB454" s="7">
        <v>2</v>
      </c>
      <c r="AC454" s="7" t="s">
        <v>0</v>
      </c>
      <c r="AD454" s="7">
        <v>3</v>
      </c>
      <c r="AE454" s="7" t="s">
        <v>60</v>
      </c>
    </row>
    <row r="455" spans="1:31" ht="63.75" x14ac:dyDescent="0.2">
      <c r="A455" s="8" t="str">
        <f>HYPERLINK("http://www.patentics.cn/invokexml.do?sx=showpatent_cn&amp;sf=ShowPatent&amp;spn=WO2014198037&amp;sx=showpatent_cn&amp;sv=acc498992080f04a234a27603668306e","WO2014198037")</f>
        <v>WO2014198037</v>
      </c>
      <c r="B455" s="9" t="s">
        <v>2228</v>
      </c>
      <c r="C455" s="9" t="s">
        <v>2229</v>
      </c>
      <c r="D455" s="9" t="s">
        <v>117</v>
      </c>
      <c r="E455" s="9" t="s">
        <v>49</v>
      </c>
      <c r="F455" s="9" t="s">
        <v>2230</v>
      </c>
      <c r="G455" s="9" t="s">
        <v>2231</v>
      </c>
      <c r="H455" s="9" t="s">
        <v>2232</v>
      </c>
      <c r="I455" s="9" t="s">
        <v>2232</v>
      </c>
      <c r="J455" s="9" t="s">
        <v>2233</v>
      </c>
      <c r="K455" s="9" t="s">
        <v>55</v>
      </c>
      <c r="L455" s="9" t="s">
        <v>2234</v>
      </c>
      <c r="M455" s="9">
        <v>20</v>
      </c>
      <c r="N455" s="9">
        <v>12</v>
      </c>
      <c r="O455" s="9" t="s">
        <v>850</v>
      </c>
      <c r="P455" s="9" t="s">
        <v>43</v>
      </c>
      <c r="Q455" s="9">
        <v>3</v>
      </c>
      <c r="R455" s="9">
        <v>0</v>
      </c>
      <c r="S455" s="9">
        <v>3</v>
      </c>
      <c r="T455" s="9">
        <v>3</v>
      </c>
      <c r="U455" s="9">
        <v>0</v>
      </c>
      <c r="V455" s="9" t="s">
        <v>114</v>
      </c>
      <c r="W455" s="9">
        <v>0</v>
      </c>
      <c r="X455" s="9">
        <v>0</v>
      </c>
      <c r="Y455" s="9">
        <v>0</v>
      </c>
      <c r="Z455" s="9">
        <v>0</v>
      </c>
      <c r="AA455" s="9">
        <v>2</v>
      </c>
      <c r="AB455" s="9">
        <v>2</v>
      </c>
      <c r="AC455" s="9">
        <v>14</v>
      </c>
      <c r="AD455" s="9" t="s">
        <v>0</v>
      </c>
      <c r="AE455" s="9" t="s">
        <v>0</v>
      </c>
    </row>
    <row r="456" spans="1:31" ht="63.75" x14ac:dyDescent="0.2">
      <c r="A456" s="8" t="str">
        <f>HYPERLINK("http://www.patentics.cn/invokexml.do?sx=showpatent_cn&amp;sf=ShowPatent&amp;spn=WO2014198226&amp;sx=showpatent_cn&amp;sv=9da5213d563bf3b169690f5b7c22e16b","WO2014198226")</f>
        <v>WO2014198226</v>
      </c>
      <c r="B456" s="9" t="s">
        <v>2235</v>
      </c>
      <c r="C456" s="9" t="s">
        <v>2236</v>
      </c>
      <c r="D456" s="9" t="s">
        <v>117</v>
      </c>
      <c r="E456" s="9" t="s">
        <v>49</v>
      </c>
      <c r="F456" s="9" t="s">
        <v>2230</v>
      </c>
      <c r="G456" s="9" t="s">
        <v>2231</v>
      </c>
      <c r="H456" s="9" t="s">
        <v>2232</v>
      </c>
      <c r="I456" s="9" t="s">
        <v>2237</v>
      </c>
      <c r="J456" s="9" t="s">
        <v>2233</v>
      </c>
      <c r="K456" s="9" t="s">
        <v>55</v>
      </c>
      <c r="L456" s="9" t="s">
        <v>2234</v>
      </c>
      <c r="M456" s="9">
        <v>30</v>
      </c>
      <c r="N456" s="9">
        <v>14</v>
      </c>
      <c r="O456" s="9" t="s">
        <v>850</v>
      </c>
      <c r="P456" s="9" t="s">
        <v>43</v>
      </c>
      <c r="Q456" s="9">
        <v>4</v>
      </c>
      <c r="R456" s="9">
        <v>0</v>
      </c>
      <c r="S456" s="9">
        <v>4</v>
      </c>
      <c r="T456" s="9">
        <v>4</v>
      </c>
      <c r="U456" s="9">
        <v>0</v>
      </c>
      <c r="V456" s="9" t="s">
        <v>114</v>
      </c>
      <c r="W456" s="9">
        <v>0</v>
      </c>
      <c r="X456" s="9">
        <v>0</v>
      </c>
      <c r="Y456" s="9">
        <v>0</v>
      </c>
      <c r="Z456" s="9">
        <v>0</v>
      </c>
      <c r="AA456" s="9">
        <v>2</v>
      </c>
      <c r="AB456" s="9">
        <v>2</v>
      </c>
      <c r="AC456" s="9">
        <v>14</v>
      </c>
      <c r="AD456" s="9" t="s">
        <v>0</v>
      </c>
      <c r="AE456" s="9" t="s">
        <v>0</v>
      </c>
    </row>
    <row r="457" spans="1:31" ht="38.25" x14ac:dyDescent="0.2">
      <c r="A457" s="8" t="str">
        <f>HYPERLINK("http://www.patentics.cn/invokexml.do?sx=showpatent_cn&amp;sf=ShowPatent&amp;spn=WO2016049943&amp;sx=showpatent_cn&amp;sv=eefdc2c8711e7943479b95bc4257ffa1","WO2016049943")</f>
        <v>WO2016049943</v>
      </c>
      <c r="B457" s="9" t="s">
        <v>2238</v>
      </c>
      <c r="C457" s="9" t="s">
        <v>2239</v>
      </c>
      <c r="D457" s="9" t="s">
        <v>117</v>
      </c>
      <c r="E457" s="9" t="s">
        <v>49</v>
      </c>
      <c r="F457" s="9" t="s">
        <v>2240</v>
      </c>
      <c r="G457" s="9" t="s">
        <v>2241</v>
      </c>
      <c r="H457" s="9" t="s">
        <v>0</v>
      </c>
      <c r="I457" s="9" t="s">
        <v>2242</v>
      </c>
      <c r="J457" s="9" t="s">
        <v>2243</v>
      </c>
      <c r="K457" s="9" t="s">
        <v>89</v>
      </c>
      <c r="L457" s="9" t="s">
        <v>136</v>
      </c>
      <c r="M457" s="9">
        <v>30</v>
      </c>
      <c r="N457" s="9">
        <v>0</v>
      </c>
      <c r="O457" s="9" t="s">
        <v>850</v>
      </c>
      <c r="P457" s="9" t="s">
        <v>1932</v>
      </c>
      <c r="Q457" s="9">
        <v>4</v>
      </c>
      <c r="R457" s="9">
        <v>0</v>
      </c>
      <c r="S457" s="9">
        <v>4</v>
      </c>
      <c r="T457" s="9">
        <v>4</v>
      </c>
      <c r="U457" s="9">
        <v>0</v>
      </c>
      <c r="V457" s="9" t="s">
        <v>114</v>
      </c>
      <c r="W457" s="9">
        <v>0</v>
      </c>
      <c r="X457" s="9">
        <v>0</v>
      </c>
      <c r="Y457" s="9">
        <v>0</v>
      </c>
      <c r="Z457" s="9">
        <v>0</v>
      </c>
      <c r="AA457" s="9">
        <v>0</v>
      </c>
      <c r="AB457" s="9">
        <v>0</v>
      </c>
      <c r="AC457" s="9">
        <v>14</v>
      </c>
      <c r="AD457" s="9" t="s">
        <v>0</v>
      </c>
      <c r="AE457" s="9" t="s">
        <v>0</v>
      </c>
    </row>
    <row r="458" spans="1:31" ht="51" x14ac:dyDescent="0.2">
      <c r="A458" s="6" t="str">
        <f>HYPERLINK("http://www.patentics.cn/invokexml.do?sx=showpatent_cn&amp;sf=ShowPatent&amp;spn=CN101387952&amp;sx=showpatent_cn&amp;sv=d07f0fb916a918997c067f8a2e420ec1","CN101387952")</f>
        <v>CN101387952</v>
      </c>
      <c r="B458" s="7" t="s">
        <v>2244</v>
      </c>
      <c r="C458" s="7" t="s">
        <v>2245</v>
      </c>
      <c r="D458" s="7" t="s">
        <v>2246</v>
      </c>
      <c r="E458" s="7" t="s">
        <v>2246</v>
      </c>
      <c r="F458" s="7" t="s">
        <v>2247</v>
      </c>
      <c r="G458" s="7" t="s">
        <v>2248</v>
      </c>
      <c r="H458" s="7" t="s">
        <v>1515</v>
      </c>
      <c r="I458" s="7" t="s">
        <v>1515</v>
      </c>
      <c r="J458" s="7" t="s">
        <v>2249</v>
      </c>
      <c r="K458" s="7" t="s">
        <v>885</v>
      </c>
      <c r="L458" s="7" t="s">
        <v>2250</v>
      </c>
      <c r="M458" s="7">
        <v>7</v>
      </c>
      <c r="N458" s="7">
        <v>29</v>
      </c>
      <c r="O458" s="7" t="s">
        <v>42</v>
      </c>
      <c r="P458" s="7" t="s">
        <v>43</v>
      </c>
      <c r="Q458" s="7">
        <v>0</v>
      </c>
      <c r="R458" s="7">
        <v>0</v>
      </c>
      <c r="S458" s="7">
        <v>0</v>
      </c>
      <c r="T458" s="7">
        <v>0</v>
      </c>
      <c r="U458" s="7">
        <v>25</v>
      </c>
      <c r="V458" s="7" t="s">
        <v>2251</v>
      </c>
      <c r="W458" s="7">
        <v>0</v>
      </c>
      <c r="X458" s="7">
        <v>25</v>
      </c>
      <c r="Y458" s="7">
        <v>16</v>
      </c>
      <c r="Z458" s="7">
        <v>3</v>
      </c>
      <c r="AA458" s="7">
        <v>1</v>
      </c>
      <c r="AB458" s="7">
        <v>1</v>
      </c>
      <c r="AC458" s="7" t="s">
        <v>0</v>
      </c>
      <c r="AD458" s="7">
        <v>3</v>
      </c>
      <c r="AE458" s="7" t="s">
        <v>60</v>
      </c>
    </row>
    <row r="459" spans="1:31" ht="89.25" x14ac:dyDescent="0.2">
      <c r="A459" s="8" t="str">
        <f>HYPERLINK("http://www.patentics.cn/invokexml.do?sx=showpatent_cn&amp;sf=ShowPatent&amp;spn=US9058191&amp;sx=showpatent_cn&amp;sv=43efaac3db49f557795f627ee3e551f1","US9058191")</f>
        <v>US9058191</v>
      </c>
      <c r="B459" s="9" t="s">
        <v>2252</v>
      </c>
      <c r="C459" s="9" t="s">
        <v>2253</v>
      </c>
      <c r="D459" s="9" t="s">
        <v>48</v>
      </c>
      <c r="E459" s="9" t="s">
        <v>49</v>
      </c>
      <c r="F459" s="9" t="s">
        <v>2254</v>
      </c>
      <c r="G459" s="9" t="s">
        <v>2255</v>
      </c>
      <c r="H459" s="9" t="s">
        <v>2256</v>
      </c>
      <c r="I459" s="9" t="s">
        <v>2256</v>
      </c>
      <c r="J459" s="9" t="s">
        <v>2257</v>
      </c>
      <c r="K459" s="9" t="s">
        <v>885</v>
      </c>
      <c r="L459" s="9" t="s">
        <v>1014</v>
      </c>
      <c r="M459" s="9">
        <v>30</v>
      </c>
      <c r="N459" s="9">
        <v>14</v>
      </c>
      <c r="O459" s="9" t="s">
        <v>57</v>
      </c>
      <c r="P459" s="9" t="s">
        <v>58</v>
      </c>
      <c r="Q459" s="9">
        <v>27</v>
      </c>
      <c r="R459" s="9">
        <v>1</v>
      </c>
      <c r="S459" s="9">
        <v>26</v>
      </c>
      <c r="T459" s="9">
        <v>15</v>
      </c>
      <c r="U459" s="9">
        <v>0</v>
      </c>
      <c r="V459" s="9" t="s">
        <v>114</v>
      </c>
      <c r="W459" s="9">
        <v>0</v>
      </c>
      <c r="X459" s="9">
        <v>0</v>
      </c>
      <c r="Y459" s="9">
        <v>0</v>
      </c>
      <c r="Z459" s="9">
        <v>0</v>
      </c>
      <c r="AA459" s="9">
        <v>5</v>
      </c>
      <c r="AB459" s="9">
        <v>6</v>
      </c>
      <c r="AC459" s="9">
        <v>14</v>
      </c>
      <c r="AD459" s="9" t="s">
        <v>0</v>
      </c>
      <c r="AE459" s="9" t="s">
        <v>60</v>
      </c>
    </row>
    <row r="460" spans="1:31" ht="76.5" x14ac:dyDescent="0.2">
      <c r="A460" s="8" t="str">
        <f>HYPERLINK("http://www.patentics.cn/invokexml.do?sx=showpatent_cn&amp;sf=ShowPatent&amp;spn=CN102812453B&amp;sx=showpatent_cn&amp;sv=8cbe2f0be919018dacf06010dbae82b4","CN102812453B")</f>
        <v>CN102812453B</v>
      </c>
      <c r="B460" s="9" t="s">
        <v>2258</v>
      </c>
      <c r="C460" s="9" t="s">
        <v>2259</v>
      </c>
      <c r="D460" s="9" t="s">
        <v>301</v>
      </c>
      <c r="E460" s="9" t="s">
        <v>301</v>
      </c>
      <c r="F460" s="9" t="s">
        <v>2260</v>
      </c>
      <c r="G460" s="9" t="s">
        <v>2261</v>
      </c>
      <c r="H460" s="9" t="s">
        <v>2262</v>
      </c>
      <c r="I460" s="9" t="s">
        <v>1804</v>
      </c>
      <c r="J460" s="9" t="s">
        <v>2263</v>
      </c>
      <c r="K460" s="9" t="s">
        <v>885</v>
      </c>
      <c r="L460" s="9" t="s">
        <v>2264</v>
      </c>
      <c r="M460" s="9">
        <v>23</v>
      </c>
      <c r="N460" s="9">
        <v>19</v>
      </c>
      <c r="O460" s="9" t="s">
        <v>57</v>
      </c>
      <c r="P460" s="9" t="s">
        <v>58</v>
      </c>
      <c r="Q460" s="9">
        <v>3</v>
      </c>
      <c r="R460" s="9">
        <v>0</v>
      </c>
      <c r="S460" s="9">
        <v>3</v>
      </c>
      <c r="T460" s="9">
        <v>3</v>
      </c>
      <c r="U460" s="9">
        <v>0</v>
      </c>
      <c r="V460" s="9" t="s">
        <v>114</v>
      </c>
      <c r="W460" s="9">
        <v>0</v>
      </c>
      <c r="X460" s="9">
        <v>0</v>
      </c>
      <c r="Y460" s="9">
        <v>0</v>
      </c>
      <c r="Z460" s="9">
        <v>0</v>
      </c>
      <c r="AA460" s="9">
        <v>10</v>
      </c>
      <c r="AB460" s="9">
        <v>6</v>
      </c>
      <c r="AC460" s="9">
        <v>14</v>
      </c>
      <c r="AD460" s="9" t="s">
        <v>0</v>
      </c>
      <c r="AE460" s="9" t="s">
        <v>60</v>
      </c>
    </row>
    <row r="461" spans="1:31" ht="76.5" x14ac:dyDescent="0.2">
      <c r="A461" s="8" t="str">
        <f>HYPERLINK("http://www.patentics.cn/invokexml.do?sx=showpatent_cn&amp;sf=ShowPatent&amp;spn=CN102812453&amp;sx=showpatent_cn&amp;sv=7f40d24597292ebffd14fae3a3ecd35e","CN102812453")</f>
        <v>CN102812453</v>
      </c>
      <c r="B461" s="9" t="s">
        <v>2258</v>
      </c>
      <c r="C461" s="9" t="s">
        <v>2259</v>
      </c>
      <c r="D461" s="9" t="s">
        <v>301</v>
      </c>
      <c r="E461" s="9" t="s">
        <v>301</v>
      </c>
      <c r="F461" s="9" t="s">
        <v>2260</v>
      </c>
      <c r="G461" s="9" t="s">
        <v>2261</v>
      </c>
      <c r="H461" s="9" t="s">
        <v>2262</v>
      </c>
      <c r="I461" s="9" t="s">
        <v>1804</v>
      </c>
      <c r="J461" s="9" t="s">
        <v>2082</v>
      </c>
      <c r="K461" s="9" t="s">
        <v>885</v>
      </c>
      <c r="L461" s="9" t="s">
        <v>2264</v>
      </c>
      <c r="M461" s="9">
        <v>24</v>
      </c>
      <c r="N461" s="9">
        <v>14</v>
      </c>
      <c r="O461" s="9" t="s">
        <v>42</v>
      </c>
      <c r="P461" s="9" t="s">
        <v>58</v>
      </c>
      <c r="Q461" s="9">
        <v>4</v>
      </c>
      <c r="R461" s="9">
        <v>0</v>
      </c>
      <c r="S461" s="9">
        <v>4</v>
      </c>
      <c r="T461" s="9">
        <v>3</v>
      </c>
      <c r="U461" s="9">
        <v>1</v>
      </c>
      <c r="V461" s="9" t="s">
        <v>321</v>
      </c>
      <c r="W461" s="9">
        <v>1</v>
      </c>
      <c r="X461" s="9">
        <v>0</v>
      </c>
      <c r="Y461" s="9">
        <v>1</v>
      </c>
      <c r="Z461" s="9">
        <v>1</v>
      </c>
      <c r="AA461" s="9">
        <v>10</v>
      </c>
      <c r="AB461" s="9">
        <v>6</v>
      </c>
      <c r="AC461" s="9">
        <v>14</v>
      </c>
      <c r="AD461" s="9" t="s">
        <v>0</v>
      </c>
      <c r="AE461" s="9" t="s">
        <v>60</v>
      </c>
    </row>
    <row r="462" spans="1:31" ht="51" x14ac:dyDescent="0.2">
      <c r="A462" s="6" t="str">
        <f>HYPERLINK("http://www.patentics.cn/invokexml.do?sx=showpatent_cn&amp;sf=ShowPatent&amp;spn=CN101389021&amp;sx=showpatent_cn&amp;sv=821df3b4746ba032bbd8c216655c13c9","CN101389021")</f>
        <v>CN101389021</v>
      </c>
      <c r="B462" s="7" t="s">
        <v>2265</v>
      </c>
      <c r="C462" s="7" t="s">
        <v>2266</v>
      </c>
      <c r="D462" s="7" t="s">
        <v>2267</v>
      </c>
      <c r="E462" s="7" t="s">
        <v>2267</v>
      </c>
      <c r="F462" s="7" t="s">
        <v>2268</v>
      </c>
      <c r="G462" s="7" t="s">
        <v>2269</v>
      </c>
      <c r="H462" s="7" t="s">
        <v>2270</v>
      </c>
      <c r="I462" s="7" t="s">
        <v>1514</v>
      </c>
      <c r="J462" s="7" t="s">
        <v>2249</v>
      </c>
      <c r="K462" s="7" t="s">
        <v>714</v>
      </c>
      <c r="L462" s="7" t="s">
        <v>1346</v>
      </c>
      <c r="M462" s="7">
        <v>28</v>
      </c>
      <c r="N462" s="7">
        <v>9</v>
      </c>
      <c r="O462" s="7" t="s">
        <v>42</v>
      </c>
      <c r="P462" s="7" t="s">
        <v>43</v>
      </c>
      <c r="Q462" s="7">
        <v>0</v>
      </c>
      <c r="R462" s="7">
        <v>0</v>
      </c>
      <c r="S462" s="7">
        <v>0</v>
      </c>
      <c r="T462" s="7">
        <v>0</v>
      </c>
      <c r="U462" s="7">
        <v>25</v>
      </c>
      <c r="V462" s="7" t="s">
        <v>2271</v>
      </c>
      <c r="W462" s="7">
        <v>15</v>
      </c>
      <c r="X462" s="7">
        <v>10</v>
      </c>
      <c r="Y462" s="7">
        <v>7</v>
      </c>
      <c r="Z462" s="7">
        <v>3</v>
      </c>
      <c r="AA462" s="7">
        <v>6</v>
      </c>
      <c r="AB462" s="7">
        <v>3</v>
      </c>
      <c r="AC462" s="7" t="s">
        <v>0</v>
      </c>
      <c r="AD462" s="7">
        <v>3</v>
      </c>
      <c r="AE462" s="7" t="s">
        <v>60</v>
      </c>
    </row>
    <row r="463" spans="1:31" ht="102" x14ac:dyDescent="0.2">
      <c r="A463" s="8" t="str">
        <f>HYPERLINK("http://www.patentics.cn/invokexml.do?sx=showpatent_cn&amp;sf=ShowPatent&amp;spn=US9584819&amp;sx=showpatent_cn&amp;sv=4869acc7c5d288e39528053faf5b0182","US9584819")</f>
        <v>US9584819</v>
      </c>
      <c r="B463" s="9" t="s">
        <v>2272</v>
      </c>
      <c r="C463" s="9" t="s">
        <v>2273</v>
      </c>
      <c r="D463" s="9" t="s">
        <v>48</v>
      </c>
      <c r="E463" s="9" t="s">
        <v>49</v>
      </c>
      <c r="F463" s="9" t="s">
        <v>2274</v>
      </c>
      <c r="G463" s="9" t="s">
        <v>2275</v>
      </c>
      <c r="H463" s="9" t="s">
        <v>2276</v>
      </c>
      <c r="I463" s="9" t="s">
        <v>2277</v>
      </c>
      <c r="J463" s="9" t="s">
        <v>605</v>
      </c>
      <c r="K463" s="9" t="s">
        <v>714</v>
      </c>
      <c r="L463" s="9" t="s">
        <v>2278</v>
      </c>
      <c r="M463" s="9">
        <v>54</v>
      </c>
      <c r="N463" s="9">
        <v>22</v>
      </c>
      <c r="O463" s="9" t="s">
        <v>57</v>
      </c>
      <c r="P463" s="9" t="s">
        <v>58</v>
      </c>
      <c r="Q463" s="9">
        <v>41</v>
      </c>
      <c r="R463" s="9">
        <v>12</v>
      </c>
      <c r="S463" s="9">
        <v>29</v>
      </c>
      <c r="T463" s="9">
        <v>18</v>
      </c>
      <c r="U463" s="9">
        <v>1</v>
      </c>
      <c r="V463" s="9" t="s">
        <v>131</v>
      </c>
      <c r="W463" s="9">
        <v>0</v>
      </c>
      <c r="X463" s="9">
        <v>1</v>
      </c>
      <c r="Y463" s="9">
        <v>1</v>
      </c>
      <c r="Z463" s="9">
        <v>1</v>
      </c>
      <c r="AA463" s="9">
        <v>9</v>
      </c>
      <c r="AB463" s="9">
        <v>7</v>
      </c>
      <c r="AC463" s="9">
        <v>14</v>
      </c>
      <c r="AD463" s="9" t="s">
        <v>0</v>
      </c>
      <c r="AE463" s="9" t="s">
        <v>60</v>
      </c>
    </row>
    <row r="464" spans="1:31" ht="63.75" x14ac:dyDescent="0.2">
      <c r="A464" s="8" t="str">
        <f>HYPERLINK("http://www.patentics.cn/invokexml.do?sx=showpatent_cn&amp;sf=ShowPatent&amp;spn=CN103975596B&amp;sx=showpatent_cn&amp;sv=1b9a5e4ffbdddc18678d4ee19981e227","CN103975596B")</f>
        <v>CN103975596B</v>
      </c>
      <c r="B464" s="9" t="s">
        <v>2279</v>
      </c>
      <c r="C464" s="9" t="s">
        <v>2280</v>
      </c>
      <c r="D464" s="9" t="s">
        <v>301</v>
      </c>
      <c r="E464" s="9" t="s">
        <v>301</v>
      </c>
      <c r="F464" s="9" t="s">
        <v>2281</v>
      </c>
      <c r="G464" s="9" t="s">
        <v>2282</v>
      </c>
      <c r="H464" s="9" t="s">
        <v>2276</v>
      </c>
      <c r="I464" s="9" t="s">
        <v>2283</v>
      </c>
      <c r="J464" s="9" t="s">
        <v>2284</v>
      </c>
      <c r="K464" s="9" t="s">
        <v>714</v>
      </c>
      <c r="L464" s="9" t="s">
        <v>2285</v>
      </c>
      <c r="M464" s="9">
        <v>38</v>
      </c>
      <c r="N464" s="9">
        <v>20</v>
      </c>
      <c r="O464" s="9" t="s">
        <v>57</v>
      </c>
      <c r="P464" s="9" t="s">
        <v>58</v>
      </c>
      <c r="Q464" s="9">
        <v>4</v>
      </c>
      <c r="R464" s="9">
        <v>2</v>
      </c>
      <c r="S464" s="9">
        <v>2</v>
      </c>
      <c r="T464" s="9">
        <v>3</v>
      </c>
      <c r="U464" s="9">
        <v>0</v>
      </c>
      <c r="V464" s="9" t="s">
        <v>114</v>
      </c>
      <c r="W464" s="9">
        <v>0</v>
      </c>
      <c r="X464" s="9">
        <v>0</v>
      </c>
      <c r="Y464" s="9">
        <v>0</v>
      </c>
      <c r="Z464" s="9">
        <v>0</v>
      </c>
      <c r="AA464" s="9">
        <v>0</v>
      </c>
      <c r="AB464" s="9">
        <v>0</v>
      </c>
      <c r="AC464" s="9">
        <v>14</v>
      </c>
      <c r="AD464" s="9" t="s">
        <v>0</v>
      </c>
      <c r="AE464" s="9" t="s">
        <v>60</v>
      </c>
    </row>
    <row r="465" spans="1:31" ht="63.75" x14ac:dyDescent="0.2">
      <c r="A465" s="8" t="str">
        <f>HYPERLINK("http://www.patentics.cn/invokexml.do?sx=showpatent_cn&amp;sf=ShowPatent&amp;spn=CN103947207B&amp;sx=showpatent_cn&amp;sv=bbf17f38b7926d0700455664ac6d79a1","CN103947207B")</f>
        <v>CN103947207B</v>
      </c>
      <c r="B465" s="9" t="s">
        <v>2286</v>
      </c>
      <c r="C465" s="9" t="s">
        <v>2287</v>
      </c>
      <c r="D465" s="9" t="s">
        <v>301</v>
      </c>
      <c r="E465" s="9" t="s">
        <v>301</v>
      </c>
      <c r="F465" s="9" t="s">
        <v>2288</v>
      </c>
      <c r="G465" s="9" t="s">
        <v>2289</v>
      </c>
      <c r="H465" s="9" t="s">
        <v>857</v>
      </c>
      <c r="I465" s="9" t="s">
        <v>2290</v>
      </c>
      <c r="J465" s="9" t="s">
        <v>2291</v>
      </c>
      <c r="K465" s="9" t="s">
        <v>714</v>
      </c>
      <c r="L465" s="9" t="s">
        <v>2292</v>
      </c>
      <c r="M465" s="9">
        <v>19</v>
      </c>
      <c r="N465" s="9">
        <v>15</v>
      </c>
      <c r="O465" s="9" t="s">
        <v>57</v>
      </c>
      <c r="P465" s="9" t="s">
        <v>58</v>
      </c>
      <c r="Q465" s="9">
        <v>3</v>
      </c>
      <c r="R465" s="9">
        <v>0</v>
      </c>
      <c r="S465" s="9">
        <v>3</v>
      </c>
      <c r="T465" s="9">
        <v>3</v>
      </c>
      <c r="U465" s="9">
        <v>0</v>
      </c>
      <c r="V465" s="9" t="s">
        <v>114</v>
      </c>
      <c r="W465" s="9">
        <v>0</v>
      </c>
      <c r="X465" s="9">
        <v>0</v>
      </c>
      <c r="Y465" s="9">
        <v>0</v>
      </c>
      <c r="Z465" s="9">
        <v>0</v>
      </c>
      <c r="AA465" s="9">
        <v>0</v>
      </c>
      <c r="AB465" s="9">
        <v>0</v>
      </c>
      <c r="AC465" s="9">
        <v>14</v>
      </c>
      <c r="AD465" s="9" t="s">
        <v>0</v>
      </c>
      <c r="AE465" s="9" t="s">
        <v>60</v>
      </c>
    </row>
    <row r="466" spans="1:31" ht="25.5" x14ac:dyDescent="0.2">
      <c r="A466" s="6" t="str">
        <f>HYPERLINK("http://www.patentics.cn/invokexml.do?sx=showpatent_cn&amp;sf=ShowPatent&amp;spn=CN101345341&amp;sx=showpatent_cn&amp;sv=f4d47a15aa1ef969a8beb99fa74faef4","CN101345341")</f>
        <v>CN101345341</v>
      </c>
      <c r="B466" s="7" t="s">
        <v>2293</v>
      </c>
      <c r="C466" s="7" t="s">
        <v>2294</v>
      </c>
      <c r="D466" s="7" t="s">
        <v>2295</v>
      </c>
      <c r="E466" s="7" t="s">
        <v>2296</v>
      </c>
      <c r="F466" s="7" t="s">
        <v>2297</v>
      </c>
      <c r="G466" s="7" t="s">
        <v>2298</v>
      </c>
      <c r="H466" s="7" t="s">
        <v>2299</v>
      </c>
      <c r="I466" s="7" t="s">
        <v>2299</v>
      </c>
      <c r="J466" s="7" t="s">
        <v>1485</v>
      </c>
      <c r="K466" s="7" t="s">
        <v>1037</v>
      </c>
      <c r="L466" s="7" t="s">
        <v>2300</v>
      </c>
      <c r="M466" s="7">
        <v>7</v>
      </c>
      <c r="N466" s="7">
        <v>16</v>
      </c>
      <c r="O466" s="7" t="s">
        <v>42</v>
      </c>
      <c r="P466" s="7" t="s">
        <v>43</v>
      </c>
      <c r="Q466" s="7">
        <v>0</v>
      </c>
      <c r="R466" s="7">
        <v>0</v>
      </c>
      <c r="S466" s="7">
        <v>0</v>
      </c>
      <c r="T466" s="7">
        <v>0</v>
      </c>
      <c r="U466" s="7">
        <v>7</v>
      </c>
      <c r="V466" s="7" t="s">
        <v>2301</v>
      </c>
      <c r="W466" s="7">
        <v>0</v>
      </c>
      <c r="X466" s="7">
        <v>7</v>
      </c>
      <c r="Y466" s="7">
        <v>3</v>
      </c>
      <c r="Z466" s="7">
        <v>2</v>
      </c>
      <c r="AA466" s="7">
        <v>3</v>
      </c>
      <c r="AB466" s="7">
        <v>2</v>
      </c>
      <c r="AC466" s="7" t="s">
        <v>0</v>
      </c>
      <c r="AD466" s="7">
        <v>3</v>
      </c>
      <c r="AE466" s="7" t="s">
        <v>60</v>
      </c>
    </row>
    <row r="467" spans="1:31" ht="38.25" x14ac:dyDescent="0.2">
      <c r="A467" s="8" t="str">
        <f>HYPERLINK("http://www.patentics.cn/invokexml.do?sx=showpatent_cn&amp;sf=ShowPatent&amp;spn=US9136594&amp;sx=showpatent_cn&amp;sv=ff59f6abf2b1024de0f1ac5fe270ea0d","US9136594")</f>
        <v>US9136594</v>
      </c>
      <c r="B467" s="9" t="s">
        <v>2302</v>
      </c>
      <c r="C467" s="9" t="s">
        <v>2303</v>
      </c>
      <c r="D467" s="9" t="s">
        <v>48</v>
      </c>
      <c r="E467" s="9" t="s">
        <v>49</v>
      </c>
      <c r="F467" s="9" t="s">
        <v>2304</v>
      </c>
      <c r="G467" s="9" t="s">
        <v>2305</v>
      </c>
      <c r="H467" s="9" t="s">
        <v>2306</v>
      </c>
      <c r="I467" s="9" t="s">
        <v>2307</v>
      </c>
      <c r="J467" s="9" t="s">
        <v>196</v>
      </c>
      <c r="K467" s="9" t="s">
        <v>1037</v>
      </c>
      <c r="L467" s="9" t="s">
        <v>2308</v>
      </c>
      <c r="M467" s="9">
        <v>9</v>
      </c>
      <c r="N467" s="9">
        <v>7</v>
      </c>
      <c r="O467" s="9" t="s">
        <v>57</v>
      </c>
      <c r="P467" s="9" t="s">
        <v>58</v>
      </c>
      <c r="Q467" s="9">
        <v>60</v>
      </c>
      <c r="R467" s="9">
        <v>0</v>
      </c>
      <c r="S467" s="9">
        <v>60</v>
      </c>
      <c r="T467" s="9">
        <v>33</v>
      </c>
      <c r="U467" s="9">
        <v>1</v>
      </c>
      <c r="V467" s="9" t="s">
        <v>484</v>
      </c>
      <c r="W467" s="9">
        <v>0</v>
      </c>
      <c r="X467" s="9">
        <v>1</v>
      </c>
      <c r="Y467" s="9">
        <v>1</v>
      </c>
      <c r="Z467" s="9">
        <v>1</v>
      </c>
      <c r="AA467" s="9">
        <v>7</v>
      </c>
      <c r="AB467" s="9">
        <v>5</v>
      </c>
      <c r="AC467" s="9">
        <v>14</v>
      </c>
      <c r="AD467" s="9" t="s">
        <v>0</v>
      </c>
      <c r="AE467" s="9" t="s">
        <v>60</v>
      </c>
    </row>
    <row r="468" spans="1:31" ht="25.5" x14ac:dyDescent="0.2">
      <c r="A468" s="8" t="str">
        <f>HYPERLINK("http://www.patentics.cn/invokexml.do?sx=showpatent_cn&amp;sf=ShowPatent&amp;spn=CN102484315B&amp;sx=showpatent_cn&amp;sv=c91161f2840036d43bd331d2e5d17e37","CN102484315B")</f>
        <v>CN102484315B</v>
      </c>
      <c r="B468" s="9" t="s">
        <v>2309</v>
      </c>
      <c r="C468" s="9" t="s">
        <v>2310</v>
      </c>
      <c r="D468" s="9" t="s">
        <v>301</v>
      </c>
      <c r="E468" s="9" t="s">
        <v>301</v>
      </c>
      <c r="F468" s="9" t="s">
        <v>2311</v>
      </c>
      <c r="G468" s="9" t="s">
        <v>2312</v>
      </c>
      <c r="H468" s="9" t="s">
        <v>2306</v>
      </c>
      <c r="I468" s="9" t="s">
        <v>2313</v>
      </c>
      <c r="J468" s="9" t="s">
        <v>2314</v>
      </c>
      <c r="K468" s="9" t="s">
        <v>1037</v>
      </c>
      <c r="L468" s="9" t="s">
        <v>2315</v>
      </c>
      <c r="M468" s="9">
        <v>22</v>
      </c>
      <c r="N468" s="9">
        <v>11</v>
      </c>
      <c r="O468" s="9" t="s">
        <v>57</v>
      </c>
      <c r="P468" s="9" t="s">
        <v>58</v>
      </c>
      <c r="Q468" s="9">
        <v>8</v>
      </c>
      <c r="R468" s="9">
        <v>0</v>
      </c>
      <c r="S468" s="9">
        <v>8</v>
      </c>
      <c r="T468" s="9">
        <v>5</v>
      </c>
      <c r="U468" s="9">
        <v>0</v>
      </c>
      <c r="V468" s="9" t="s">
        <v>114</v>
      </c>
      <c r="W468" s="9">
        <v>0</v>
      </c>
      <c r="X468" s="9">
        <v>0</v>
      </c>
      <c r="Y468" s="9">
        <v>0</v>
      </c>
      <c r="Z468" s="9">
        <v>0</v>
      </c>
      <c r="AA468" s="9">
        <v>7</v>
      </c>
      <c r="AB468" s="9">
        <v>5</v>
      </c>
      <c r="AC468" s="9">
        <v>14</v>
      </c>
      <c r="AD468" s="9" t="s">
        <v>0</v>
      </c>
      <c r="AE468" s="9" t="s">
        <v>60</v>
      </c>
    </row>
    <row r="469" spans="1:31" ht="25.5" x14ac:dyDescent="0.2">
      <c r="A469" s="8" t="str">
        <f>HYPERLINK("http://www.patentics.cn/invokexml.do?sx=showpatent_cn&amp;sf=ShowPatent&amp;spn=CN102484315&amp;sx=showpatent_cn&amp;sv=4694ec60898c47c6ebd087b41cf751f6","CN102484315")</f>
        <v>CN102484315</v>
      </c>
      <c r="B469" s="9" t="s">
        <v>2309</v>
      </c>
      <c r="C469" s="9" t="s">
        <v>2310</v>
      </c>
      <c r="D469" s="9" t="s">
        <v>301</v>
      </c>
      <c r="E469" s="9" t="s">
        <v>301</v>
      </c>
      <c r="F469" s="9" t="s">
        <v>2311</v>
      </c>
      <c r="G469" s="9" t="s">
        <v>2312</v>
      </c>
      <c r="H469" s="9" t="s">
        <v>2306</v>
      </c>
      <c r="I469" s="9" t="s">
        <v>2313</v>
      </c>
      <c r="J469" s="9" t="s">
        <v>1546</v>
      </c>
      <c r="K469" s="9" t="s">
        <v>1037</v>
      </c>
      <c r="L469" s="9" t="s">
        <v>2315</v>
      </c>
      <c r="M469" s="9">
        <v>24</v>
      </c>
      <c r="N469" s="9">
        <v>8</v>
      </c>
      <c r="O469" s="9" t="s">
        <v>42</v>
      </c>
      <c r="P469" s="9" t="s">
        <v>58</v>
      </c>
      <c r="Q469" s="9">
        <v>14</v>
      </c>
      <c r="R469" s="9">
        <v>0</v>
      </c>
      <c r="S469" s="9">
        <v>14</v>
      </c>
      <c r="T469" s="9">
        <v>8</v>
      </c>
      <c r="U469" s="9">
        <v>2</v>
      </c>
      <c r="V469" s="9" t="s">
        <v>2316</v>
      </c>
      <c r="W469" s="9">
        <v>0</v>
      </c>
      <c r="X469" s="9">
        <v>2</v>
      </c>
      <c r="Y469" s="9">
        <v>2</v>
      </c>
      <c r="Z469" s="9">
        <v>2</v>
      </c>
      <c r="AA469" s="9">
        <v>7</v>
      </c>
      <c r="AB469" s="9">
        <v>5</v>
      </c>
      <c r="AC469" s="9">
        <v>14</v>
      </c>
      <c r="AD469" s="9" t="s">
        <v>0</v>
      </c>
      <c r="AE469" s="9" t="s">
        <v>60</v>
      </c>
    </row>
    <row r="470" spans="1:31" ht="51" x14ac:dyDescent="0.2">
      <c r="A470" s="6" t="str">
        <f>HYPERLINK("http://www.patentics.cn/invokexml.do?sx=showpatent_cn&amp;sf=ShowPatent&amp;spn=CN101261635&amp;sx=showpatent_cn&amp;sv=390a494e480ae7619096b186b0d00a13","CN101261635")</f>
        <v>CN101261635</v>
      </c>
      <c r="B470" s="7" t="s">
        <v>2317</v>
      </c>
      <c r="C470" s="7" t="s">
        <v>2318</v>
      </c>
      <c r="D470" s="7" t="s">
        <v>2319</v>
      </c>
      <c r="E470" s="7" t="s">
        <v>2320</v>
      </c>
      <c r="F470" s="7" t="s">
        <v>2321</v>
      </c>
      <c r="G470" s="7" t="s">
        <v>2322</v>
      </c>
      <c r="H470" s="7" t="s">
        <v>2323</v>
      </c>
      <c r="I470" s="7" t="s">
        <v>2323</v>
      </c>
      <c r="J470" s="7" t="s">
        <v>2324</v>
      </c>
      <c r="K470" s="7" t="s">
        <v>885</v>
      </c>
      <c r="L470" s="7" t="s">
        <v>2325</v>
      </c>
      <c r="M470" s="7">
        <v>10</v>
      </c>
      <c r="N470" s="7">
        <v>10</v>
      </c>
      <c r="O470" s="7" t="s">
        <v>42</v>
      </c>
      <c r="P470" s="7" t="s">
        <v>43</v>
      </c>
      <c r="Q470" s="7">
        <v>0</v>
      </c>
      <c r="R470" s="7">
        <v>0</v>
      </c>
      <c r="S470" s="7">
        <v>0</v>
      </c>
      <c r="T470" s="7">
        <v>0</v>
      </c>
      <c r="U470" s="7">
        <v>4</v>
      </c>
      <c r="V470" s="7" t="s">
        <v>460</v>
      </c>
      <c r="W470" s="7">
        <v>0</v>
      </c>
      <c r="X470" s="7">
        <v>4</v>
      </c>
      <c r="Y470" s="7">
        <v>2</v>
      </c>
      <c r="Z470" s="7">
        <v>2</v>
      </c>
      <c r="AA470" s="7">
        <v>1</v>
      </c>
      <c r="AB470" s="7">
        <v>1</v>
      </c>
      <c r="AC470" s="7" t="s">
        <v>0</v>
      </c>
      <c r="AD470" s="7">
        <v>3</v>
      </c>
      <c r="AE470" s="7" t="s">
        <v>60</v>
      </c>
    </row>
    <row r="471" spans="1:31" ht="140.25" x14ac:dyDescent="0.2">
      <c r="A471" s="8" t="str">
        <f>HYPERLINK("http://www.patentics.cn/invokexml.do?sx=showpatent_cn&amp;sf=ShowPatent&amp;spn=US9240927&amp;sx=showpatent_cn&amp;sv=62f98901826aef45b891c7add413ef03","US9240927")</f>
        <v>US9240927</v>
      </c>
      <c r="B471" s="9" t="s">
        <v>2326</v>
      </c>
      <c r="C471" s="9" t="s">
        <v>2327</v>
      </c>
      <c r="D471" s="9" t="s">
        <v>48</v>
      </c>
      <c r="E471" s="9" t="s">
        <v>49</v>
      </c>
      <c r="F471" s="9" t="s">
        <v>2328</v>
      </c>
      <c r="G471" s="9" t="s">
        <v>943</v>
      </c>
      <c r="H471" s="9" t="s">
        <v>2329</v>
      </c>
      <c r="I471" s="9" t="s">
        <v>2330</v>
      </c>
      <c r="J471" s="9" t="s">
        <v>257</v>
      </c>
      <c r="K471" s="9" t="s">
        <v>885</v>
      </c>
      <c r="L471" s="9" t="s">
        <v>1014</v>
      </c>
      <c r="M471" s="9">
        <v>23</v>
      </c>
      <c r="N471" s="9">
        <v>11</v>
      </c>
      <c r="O471" s="9" t="s">
        <v>57</v>
      </c>
      <c r="P471" s="9" t="s">
        <v>58</v>
      </c>
      <c r="Q471" s="9">
        <v>25</v>
      </c>
      <c r="R471" s="9">
        <v>1</v>
      </c>
      <c r="S471" s="9">
        <v>24</v>
      </c>
      <c r="T471" s="9">
        <v>12</v>
      </c>
      <c r="U471" s="9">
        <v>2</v>
      </c>
      <c r="V471" s="9" t="s">
        <v>1591</v>
      </c>
      <c r="W471" s="9">
        <v>0</v>
      </c>
      <c r="X471" s="9">
        <v>2</v>
      </c>
      <c r="Y471" s="9">
        <v>2</v>
      </c>
      <c r="Z471" s="9">
        <v>1</v>
      </c>
      <c r="AA471" s="9">
        <v>13</v>
      </c>
      <c r="AB471" s="9">
        <v>7</v>
      </c>
      <c r="AC471" s="9">
        <v>14</v>
      </c>
      <c r="AD471" s="9" t="s">
        <v>0</v>
      </c>
      <c r="AE471" s="9" t="s">
        <v>60</v>
      </c>
    </row>
    <row r="472" spans="1:31" ht="51" x14ac:dyDescent="0.2">
      <c r="A472" s="8" t="str">
        <f>HYPERLINK("http://www.patentics.cn/invokexml.do?sx=showpatent_cn&amp;sf=ShowPatent&amp;spn=CN102334325B&amp;sx=showpatent_cn&amp;sv=1d317fd7425180c6cec91b13fb4879d7","CN102334325B")</f>
        <v>CN102334325B</v>
      </c>
      <c r="B472" s="9" t="s">
        <v>2331</v>
      </c>
      <c r="C472" s="9" t="s">
        <v>2332</v>
      </c>
      <c r="D472" s="9" t="s">
        <v>301</v>
      </c>
      <c r="E472" s="9" t="s">
        <v>301</v>
      </c>
      <c r="F472" s="9" t="s">
        <v>2333</v>
      </c>
      <c r="G472" s="9" t="s">
        <v>1147</v>
      </c>
      <c r="H472" s="9" t="s">
        <v>2329</v>
      </c>
      <c r="I472" s="9" t="s">
        <v>2334</v>
      </c>
      <c r="J472" s="9" t="s">
        <v>2335</v>
      </c>
      <c r="K472" s="9" t="s">
        <v>68</v>
      </c>
      <c r="L472" s="9" t="s">
        <v>2336</v>
      </c>
      <c r="M472" s="9">
        <v>21</v>
      </c>
      <c r="N472" s="9">
        <v>13</v>
      </c>
      <c r="O472" s="9" t="s">
        <v>57</v>
      </c>
      <c r="P472" s="9" t="s">
        <v>58</v>
      </c>
      <c r="Q472" s="9">
        <v>3</v>
      </c>
      <c r="R472" s="9">
        <v>0</v>
      </c>
      <c r="S472" s="9">
        <v>3</v>
      </c>
      <c r="T472" s="9">
        <v>3</v>
      </c>
      <c r="U472" s="9">
        <v>0</v>
      </c>
      <c r="V472" s="9" t="s">
        <v>114</v>
      </c>
      <c r="W472" s="9">
        <v>0</v>
      </c>
      <c r="X472" s="9">
        <v>0</v>
      </c>
      <c r="Y472" s="9">
        <v>0</v>
      </c>
      <c r="Z472" s="9">
        <v>0</v>
      </c>
      <c r="AA472" s="9">
        <v>13</v>
      </c>
      <c r="AB472" s="9">
        <v>7</v>
      </c>
      <c r="AC472" s="9">
        <v>14</v>
      </c>
      <c r="AD472" s="9" t="s">
        <v>0</v>
      </c>
      <c r="AE472" s="9" t="s">
        <v>60</v>
      </c>
    </row>
    <row r="473" spans="1:31" ht="51" x14ac:dyDescent="0.2">
      <c r="A473" s="8" t="str">
        <f>HYPERLINK("http://www.patentics.cn/invokexml.do?sx=showpatent_cn&amp;sf=ShowPatent&amp;spn=CN102334325&amp;sx=showpatent_cn&amp;sv=2009baf7c216a3f2a7c37240f8e062c5","CN102334325")</f>
        <v>CN102334325</v>
      </c>
      <c r="B473" s="9" t="s">
        <v>2331</v>
      </c>
      <c r="C473" s="9" t="s">
        <v>2332</v>
      </c>
      <c r="D473" s="9" t="s">
        <v>301</v>
      </c>
      <c r="E473" s="9" t="s">
        <v>301</v>
      </c>
      <c r="F473" s="9" t="s">
        <v>2333</v>
      </c>
      <c r="G473" s="9" t="s">
        <v>1147</v>
      </c>
      <c r="H473" s="9" t="s">
        <v>2329</v>
      </c>
      <c r="I473" s="9" t="s">
        <v>2334</v>
      </c>
      <c r="J473" s="9" t="s">
        <v>2337</v>
      </c>
      <c r="K473" s="9" t="s">
        <v>68</v>
      </c>
      <c r="L473" s="9" t="s">
        <v>2336</v>
      </c>
      <c r="M473" s="9">
        <v>76</v>
      </c>
      <c r="N473" s="9">
        <v>6</v>
      </c>
      <c r="O473" s="9" t="s">
        <v>42</v>
      </c>
      <c r="P473" s="9" t="s">
        <v>58</v>
      </c>
      <c r="Q473" s="9">
        <v>4</v>
      </c>
      <c r="R473" s="9">
        <v>0</v>
      </c>
      <c r="S473" s="9">
        <v>4</v>
      </c>
      <c r="T473" s="9">
        <v>4</v>
      </c>
      <c r="U473" s="9">
        <v>1</v>
      </c>
      <c r="V473" s="9" t="s">
        <v>321</v>
      </c>
      <c r="W473" s="9">
        <v>1</v>
      </c>
      <c r="X473" s="9">
        <v>0</v>
      </c>
      <c r="Y473" s="9">
        <v>1</v>
      </c>
      <c r="Z473" s="9">
        <v>1</v>
      </c>
      <c r="AA473" s="9">
        <v>13</v>
      </c>
      <c r="AB473" s="9">
        <v>7</v>
      </c>
      <c r="AC473" s="9">
        <v>14</v>
      </c>
      <c r="AD473" s="9" t="s">
        <v>0</v>
      </c>
      <c r="AE473" s="9" t="s">
        <v>60</v>
      </c>
    </row>
    <row r="474" spans="1:31" ht="89.25" x14ac:dyDescent="0.2">
      <c r="A474" s="6" t="str">
        <f>HYPERLINK("http://www.patentics.cn/invokexml.do?sx=showpatent_cn&amp;sf=ShowPatent&amp;spn=CN101257714&amp;sx=showpatent_cn&amp;sv=ea9caa1fa3383aa077e86d72f43cc500","CN101257714")</f>
        <v>CN101257714</v>
      </c>
      <c r="B474" s="7" t="s">
        <v>2338</v>
      </c>
      <c r="C474" s="7" t="s">
        <v>2339</v>
      </c>
      <c r="D474" s="7" t="s">
        <v>923</v>
      </c>
      <c r="E474" s="7" t="s">
        <v>923</v>
      </c>
      <c r="F474" s="7" t="s">
        <v>2340</v>
      </c>
      <c r="G474" s="7" t="s">
        <v>2341</v>
      </c>
      <c r="H474" s="7" t="s">
        <v>2342</v>
      </c>
      <c r="I474" s="7" t="s">
        <v>2342</v>
      </c>
      <c r="J474" s="7" t="s">
        <v>2343</v>
      </c>
      <c r="K474" s="7" t="s">
        <v>96</v>
      </c>
      <c r="L474" s="7" t="s">
        <v>1102</v>
      </c>
      <c r="M474" s="7">
        <v>6</v>
      </c>
      <c r="N474" s="7">
        <v>21</v>
      </c>
      <c r="O474" s="7" t="s">
        <v>42</v>
      </c>
      <c r="P474" s="7" t="s">
        <v>43</v>
      </c>
      <c r="Q474" s="7">
        <v>0</v>
      </c>
      <c r="R474" s="7">
        <v>0</v>
      </c>
      <c r="S474" s="7">
        <v>0</v>
      </c>
      <c r="T474" s="7">
        <v>0</v>
      </c>
      <c r="U474" s="7">
        <v>22</v>
      </c>
      <c r="V474" s="7" t="s">
        <v>2344</v>
      </c>
      <c r="W474" s="7">
        <v>0</v>
      </c>
      <c r="X474" s="7">
        <v>22</v>
      </c>
      <c r="Y474" s="7">
        <v>11</v>
      </c>
      <c r="Z474" s="7">
        <v>4</v>
      </c>
      <c r="AA474" s="7">
        <v>1</v>
      </c>
      <c r="AB474" s="7">
        <v>1</v>
      </c>
      <c r="AC474" s="7" t="s">
        <v>0</v>
      </c>
      <c r="AD474" s="7">
        <v>3</v>
      </c>
      <c r="AE474" s="7" t="s">
        <v>60</v>
      </c>
    </row>
    <row r="475" spans="1:31" ht="127.5" x14ac:dyDescent="0.2">
      <c r="A475" s="8" t="str">
        <f>HYPERLINK("http://www.patentics.cn/invokexml.do?sx=showpatent_cn&amp;sf=ShowPatent&amp;spn=US8494513&amp;sx=showpatent_cn&amp;sv=79c1a1ace14cc10acf88a460390b9567","US8494513")</f>
        <v>US8494513</v>
      </c>
      <c r="B475" s="9" t="s">
        <v>2345</v>
      </c>
      <c r="C475" s="9" t="s">
        <v>2346</v>
      </c>
      <c r="D475" s="9" t="s">
        <v>48</v>
      </c>
      <c r="E475" s="9" t="s">
        <v>49</v>
      </c>
      <c r="F475" s="9" t="s">
        <v>2347</v>
      </c>
      <c r="G475" s="9" t="s">
        <v>2348</v>
      </c>
      <c r="H475" s="9" t="s">
        <v>2349</v>
      </c>
      <c r="I475" s="9" t="s">
        <v>2350</v>
      </c>
      <c r="J475" s="9" t="s">
        <v>2351</v>
      </c>
      <c r="K475" s="9" t="s">
        <v>55</v>
      </c>
      <c r="L475" s="9" t="s">
        <v>947</v>
      </c>
      <c r="M475" s="9">
        <v>15</v>
      </c>
      <c r="N475" s="9">
        <v>14</v>
      </c>
      <c r="O475" s="9" t="s">
        <v>57</v>
      </c>
      <c r="P475" s="9" t="s">
        <v>58</v>
      </c>
      <c r="Q475" s="9">
        <v>21</v>
      </c>
      <c r="R475" s="9">
        <v>2</v>
      </c>
      <c r="S475" s="9">
        <v>19</v>
      </c>
      <c r="T475" s="9">
        <v>15</v>
      </c>
      <c r="U475" s="9">
        <v>1</v>
      </c>
      <c r="V475" s="9" t="s">
        <v>82</v>
      </c>
      <c r="W475" s="9">
        <v>1</v>
      </c>
      <c r="X475" s="9">
        <v>0</v>
      </c>
      <c r="Y475" s="9">
        <v>1</v>
      </c>
      <c r="Z475" s="9">
        <v>1</v>
      </c>
      <c r="AA475" s="9">
        <v>16</v>
      </c>
      <c r="AB475" s="9">
        <v>7</v>
      </c>
      <c r="AC475" s="9">
        <v>14</v>
      </c>
      <c r="AD475" s="9" t="s">
        <v>0</v>
      </c>
      <c r="AE475" s="9" t="s">
        <v>60</v>
      </c>
    </row>
    <row r="476" spans="1:31" ht="127.5" x14ac:dyDescent="0.2">
      <c r="A476" s="8" t="str">
        <f>HYPERLINK("http://www.patentics.cn/invokexml.do?sx=showpatent_cn&amp;sf=ShowPatent&amp;spn=US8948744&amp;sx=showpatent_cn&amp;sv=7a5a023544565fcea4b39c422daa7419","US8948744")</f>
        <v>US8948744</v>
      </c>
      <c r="B476" s="9" t="s">
        <v>2352</v>
      </c>
      <c r="C476" s="9" t="s">
        <v>2346</v>
      </c>
      <c r="D476" s="9" t="s">
        <v>48</v>
      </c>
      <c r="E476" s="9" t="s">
        <v>49</v>
      </c>
      <c r="F476" s="9" t="s">
        <v>2353</v>
      </c>
      <c r="G476" s="9" t="s">
        <v>2348</v>
      </c>
      <c r="H476" s="9" t="s">
        <v>2349</v>
      </c>
      <c r="I476" s="9" t="s">
        <v>2354</v>
      </c>
      <c r="J476" s="9" t="s">
        <v>2355</v>
      </c>
      <c r="K476" s="9" t="s">
        <v>55</v>
      </c>
      <c r="L476" s="9" t="s">
        <v>947</v>
      </c>
      <c r="M476" s="9">
        <v>25</v>
      </c>
      <c r="N476" s="9">
        <v>13</v>
      </c>
      <c r="O476" s="9" t="s">
        <v>57</v>
      </c>
      <c r="P476" s="9" t="s">
        <v>58</v>
      </c>
      <c r="Q476" s="9">
        <v>36</v>
      </c>
      <c r="R476" s="9">
        <v>5</v>
      </c>
      <c r="S476" s="9">
        <v>31</v>
      </c>
      <c r="T476" s="9">
        <v>22</v>
      </c>
      <c r="U476" s="9">
        <v>0</v>
      </c>
      <c r="V476" s="9" t="s">
        <v>114</v>
      </c>
      <c r="W476" s="9">
        <v>0</v>
      </c>
      <c r="X476" s="9">
        <v>0</v>
      </c>
      <c r="Y476" s="9">
        <v>0</v>
      </c>
      <c r="Z476" s="9">
        <v>0</v>
      </c>
      <c r="AA476" s="9">
        <v>16</v>
      </c>
      <c r="AB476" s="9">
        <v>7</v>
      </c>
      <c r="AC476" s="9">
        <v>14</v>
      </c>
      <c r="AD476" s="9" t="s">
        <v>0</v>
      </c>
      <c r="AE476" s="9" t="s">
        <v>60</v>
      </c>
    </row>
    <row r="477" spans="1:31" ht="51" x14ac:dyDescent="0.2">
      <c r="A477" s="8" t="str">
        <f>HYPERLINK("http://www.patentics.cn/invokexml.do?sx=showpatent_cn&amp;sf=ShowPatent&amp;spn=CN102197668B&amp;sx=showpatent_cn&amp;sv=ace906c91f8bda593ca9bcefeb430ec9","CN102197668B")</f>
        <v>CN102197668B</v>
      </c>
      <c r="B477" s="9" t="s">
        <v>2356</v>
      </c>
      <c r="C477" s="9" t="s">
        <v>2357</v>
      </c>
      <c r="D477" s="9" t="s">
        <v>301</v>
      </c>
      <c r="E477" s="9" t="s">
        <v>301</v>
      </c>
      <c r="F477" s="9" t="s">
        <v>2358</v>
      </c>
      <c r="G477" s="9" t="s">
        <v>2359</v>
      </c>
      <c r="H477" s="9" t="s">
        <v>2349</v>
      </c>
      <c r="I477" s="9" t="s">
        <v>2360</v>
      </c>
      <c r="J477" s="9" t="s">
        <v>2361</v>
      </c>
      <c r="K477" s="9" t="s">
        <v>55</v>
      </c>
      <c r="L477" s="9" t="s">
        <v>2362</v>
      </c>
      <c r="M477" s="9">
        <v>29</v>
      </c>
      <c r="N477" s="9">
        <v>13</v>
      </c>
      <c r="O477" s="9" t="s">
        <v>57</v>
      </c>
      <c r="P477" s="9" t="s">
        <v>58</v>
      </c>
      <c r="Q477" s="9">
        <v>2</v>
      </c>
      <c r="R477" s="9">
        <v>0</v>
      </c>
      <c r="S477" s="9">
        <v>2</v>
      </c>
      <c r="T477" s="9">
        <v>2</v>
      </c>
      <c r="U477" s="9">
        <v>0</v>
      </c>
      <c r="V477" s="9" t="s">
        <v>114</v>
      </c>
      <c r="W477" s="9">
        <v>0</v>
      </c>
      <c r="X477" s="9">
        <v>0</v>
      </c>
      <c r="Y477" s="9">
        <v>0</v>
      </c>
      <c r="Z477" s="9">
        <v>0</v>
      </c>
      <c r="AA477" s="9">
        <v>16</v>
      </c>
      <c r="AB477" s="9">
        <v>7</v>
      </c>
      <c r="AC477" s="9">
        <v>14</v>
      </c>
      <c r="AD477" s="9" t="s">
        <v>0</v>
      </c>
      <c r="AE477" s="9" t="s">
        <v>60</v>
      </c>
    </row>
    <row r="478" spans="1:31" ht="51" x14ac:dyDescent="0.2">
      <c r="A478" s="6" t="str">
        <f>HYPERLINK("http://www.patentics.cn/invokexml.do?sx=showpatent_cn&amp;sf=ShowPatent&amp;spn=CN101207621&amp;sx=showpatent_cn&amp;sv=bd7f81fb4c68469f4be6c7e857447a25","CN101207621")</f>
        <v>CN101207621</v>
      </c>
      <c r="B478" s="7" t="s">
        <v>2363</v>
      </c>
      <c r="C478" s="7" t="s">
        <v>2364</v>
      </c>
      <c r="D478" s="7" t="s">
        <v>1341</v>
      </c>
      <c r="E478" s="7" t="s">
        <v>1341</v>
      </c>
      <c r="F478" s="7" t="s">
        <v>2365</v>
      </c>
      <c r="G478" s="7" t="s">
        <v>2366</v>
      </c>
      <c r="H478" s="7" t="s">
        <v>2367</v>
      </c>
      <c r="I478" s="7" t="s">
        <v>2367</v>
      </c>
      <c r="J478" s="7" t="s">
        <v>2368</v>
      </c>
      <c r="K478" s="7" t="s">
        <v>68</v>
      </c>
      <c r="L478" s="7" t="s">
        <v>2336</v>
      </c>
      <c r="M478" s="7">
        <v>5</v>
      </c>
      <c r="N478" s="7">
        <v>20</v>
      </c>
      <c r="O478" s="7" t="s">
        <v>42</v>
      </c>
      <c r="P478" s="7" t="s">
        <v>43</v>
      </c>
      <c r="Q478" s="7">
        <v>0</v>
      </c>
      <c r="R478" s="7">
        <v>0</v>
      </c>
      <c r="S478" s="7">
        <v>0</v>
      </c>
      <c r="T478" s="7">
        <v>0</v>
      </c>
      <c r="U478" s="7">
        <v>12</v>
      </c>
      <c r="V478" s="7" t="s">
        <v>2369</v>
      </c>
      <c r="W478" s="7">
        <v>0</v>
      </c>
      <c r="X478" s="7">
        <v>12</v>
      </c>
      <c r="Y478" s="7">
        <v>7</v>
      </c>
      <c r="Z478" s="7">
        <v>2</v>
      </c>
      <c r="AA478" s="7">
        <v>1</v>
      </c>
      <c r="AB478" s="7">
        <v>1</v>
      </c>
      <c r="AC478" s="7" t="s">
        <v>0</v>
      </c>
      <c r="AD478" s="7">
        <v>3</v>
      </c>
      <c r="AE478" s="7" t="s">
        <v>532</v>
      </c>
    </row>
    <row r="479" spans="1:31" ht="38.25" x14ac:dyDescent="0.2">
      <c r="A479" s="8" t="str">
        <f>HYPERLINK("http://www.patentics.cn/invokexml.do?sx=showpatent_cn&amp;sf=ShowPatent&amp;spn=US9043478&amp;sx=showpatent_cn&amp;sv=fa1a0e0ac35fd68794bfebc9fd7a58f2","US9043478")</f>
        <v>US9043478</v>
      </c>
      <c r="B479" s="9" t="s">
        <v>2370</v>
      </c>
      <c r="C479" s="9" t="s">
        <v>2371</v>
      </c>
      <c r="D479" s="9" t="s">
        <v>2372</v>
      </c>
      <c r="E479" s="9" t="s">
        <v>49</v>
      </c>
      <c r="F479" s="9" t="s">
        <v>2373</v>
      </c>
      <c r="G479" s="9" t="s">
        <v>2374</v>
      </c>
      <c r="H479" s="9" t="s">
        <v>2375</v>
      </c>
      <c r="I479" s="9" t="s">
        <v>2376</v>
      </c>
      <c r="J479" s="9" t="s">
        <v>1653</v>
      </c>
      <c r="K479" s="9" t="s">
        <v>885</v>
      </c>
      <c r="L479" s="9" t="s">
        <v>1014</v>
      </c>
      <c r="M479" s="9">
        <v>35</v>
      </c>
      <c r="N479" s="9">
        <v>17</v>
      </c>
      <c r="O479" s="9" t="s">
        <v>57</v>
      </c>
      <c r="P479" s="9" t="s">
        <v>58</v>
      </c>
      <c r="Q479" s="9">
        <v>14</v>
      </c>
      <c r="R479" s="9">
        <v>1</v>
      </c>
      <c r="S479" s="9">
        <v>13</v>
      </c>
      <c r="T479" s="9">
        <v>12</v>
      </c>
      <c r="U479" s="9">
        <v>0</v>
      </c>
      <c r="V479" s="9" t="s">
        <v>114</v>
      </c>
      <c r="W479" s="9">
        <v>0</v>
      </c>
      <c r="X479" s="9">
        <v>0</v>
      </c>
      <c r="Y479" s="9">
        <v>0</v>
      </c>
      <c r="Z479" s="9">
        <v>0</v>
      </c>
      <c r="AA479" s="9">
        <v>11</v>
      </c>
      <c r="AB479" s="9">
        <v>7</v>
      </c>
      <c r="AC479" s="9">
        <v>14</v>
      </c>
      <c r="AD479" s="9" t="s">
        <v>0</v>
      </c>
      <c r="AE479" s="9" t="s">
        <v>60</v>
      </c>
    </row>
    <row r="480" spans="1:31" ht="51" x14ac:dyDescent="0.2">
      <c r="A480" s="8" t="str">
        <f>HYPERLINK("http://www.patentics.cn/invokexml.do?sx=showpatent_cn&amp;sf=ShowPatent&amp;spn=CN102687469B&amp;sx=showpatent_cn&amp;sv=8fe92a4741ccbe6f655bd209b9f30527","CN102687469B")</f>
        <v>CN102687469B</v>
      </c>
      <c r="B480" s="9" t="s">
        <v>2377</v>
      </c>
      <c r="C480" s="9" t="s">
        <v>2378</v>
      </c>
      <c r="D480" s="9" t="s">
        <v>2379</v>
      </c>
      <c r="E480" s="9" t="s">
        <v>301</v>
      </c>
      <c r="F480" s="9" t="s">
        <v>2380</v>
      </c>
      <c r="G480" s="9" t="s">
        <v>2381</v>
      </c>
      <c r="H480" s="9" t="s">
        <v>2375</v>
      </c>
      <c r="I480" s="9" t="s">
        <v>2161</v>
      </c>
      <c r="J480" s="9" t="s">
        <v>2382</v>
      </c>
      <c r="K480" s="9" t="s">
        <v>68</v>
      </c>
      <c r="L480" s="9" t="s">
        <v>2383</v>
      </c>
      <c r="M480" s="9">
        <v>27</v>
      </c>
      <c r="N480" s="9">
        <v>12</v>
      </c>
      <c r="O480" s="9" t="s">
        <v>57</v>
      </c>
      <c r="P480" s="9" t="s">
        <v>58</v>
      </c>
      <c r="Q480" s="9">
        <v>6</v>
      </c>
      <c r="R480" s="9">
        <v>0</v>
      </c>
      <c r="S480" s="9">
        <v>6</v>
      </c>
      <c r="T480" s="9">
        <v>4</v>
      </c>
      <c r="U480" s="9">
        <v>0</v>
      </c>
      <c r="V480" s="9" t="s">
        <v>114</v>
      </c>
      <c r="W480" s="9">
        <v>0</v>
      </c>
      <c r="X480" s="9">
        <v>0</v>
      </c>
      <c r="Y480" s="9">
        <v>0</v>
      </c>
      <c r="Z480" s="9">
        <v>0</v>
      </c>
      <c r="AA480" s="9">
        <v>11</v>
      </c>
      <c r="AB480" s="9">
        <v>7</v>
      </c>
      <c r="AC480" s="9">
        <v>14</v>
      </c>
      <c r="AD480" s="9" t="s">
        <v>0</v>
      </c>
      <c r="AE480" s="9" t="s">
        <v>532</v>
      </c>
    </row>
    <row r="481" spans="1:31" ht="51" x14ac:dyDescent="0.2">
      <c r="A481" s="8" t="str">
        <f>HYPERLINK("http://www.patentics.cn/invokexml.do?sx=showpatent_cn&amp;sf=ShowPatent&amp;spn=CN102687469&amp;sx=showpatent_cn&amp;sv=6a836657d147bab3c2d987df226a1f21","CN102687469")</f>
        <v>CN102687469</v>
      </c>
      <c r="B481" s="9" t="s">
        <v>2377</v>
      </c>
      <c r="C481" s="9" t="s">
        <v>2378</v>
      </c>
      <c r="D481" s="9" t="s">
        <v>301</v>
      </c>
      <c r="E481" s="9" t="s">
        <v>301</v>
      </c>
      <c r="F481" s="9" t="s">
        <v>2380</v>
      </c>
      <c r="G481" s="9" t="s">
        <v>2381</v>
      </c>
      <c r="H481" s="9" t="s">
        <v>2375</v>
      </c>
      <c r="I481" s="9" t="s">
        <v>2161</v>
      </c>
      <c r="J481" s="9" t="s">
        <v>2384</v>
      </c>
      <c r="K481" s="9" t="s">
        <v>68</v>
      </c>
      <c r="L481" s="9" t="s">
        <v>2383</v>
      </c>
      <c r="M481" s="9">
        <v>40</v>
      </c>
      <c r="N481" s="9">
        <v>12</v>
      </c>
      <c r="O481" s="9" t="s">
        <v>42</v>
      </c>
      <c r="P481" s="9" t="s">
        <v>58</v>
      </c>
      <c r="Q481" s="9">
        <v>6</v>
      </c>
      <c r="R481" s="9">
        <v>0</v>
      </c>
      <c r="S481" s="9">
        <v>6</v>
      </c>
      <c r="T481" s="9">
        <v>4</v>
      </c>
      <c r="U481" s="9">
        <v>1</v>
      </c>
      <c r="V481" s="9" t="s">
        <v>1591</v>
      </c>
      <c r="W481" s="9">
        <v>0</v>
      </c>
      <c r="X481" s="9">
        <v>1</v>
      </c>
      <c r="Y481" s="9">
        <v>1</v>
      </c>
      <c r="Z481" s="9">
        <v>1</v>
      </c>
      <c r="AA481" s="9">
        <v>11</v>
      </c>
      <c r="AB481" s="9">
        <v>7</v>
      </c>
      <c r="AC481" s="9">
        <v>14</v>
      </c>
      <c r="AD481" s="9" t="s">
        <v>0</v>
      </c>
      <c r="AE481" s="9" t="s">
        <v>532</v>
      </c>
    </row>
    <row r="482" spans="1:31" ht="25.5" x14ac:dyDescent="0.2">
      <c r="A482" s="6" t="str">
        <f>HYPERLINK("http://www.patentics.cn/invokexml.do?sx=showpatent_cn&amp;sf=ShowPatent&amp;spn=CN101183851&amp;sx=showpatent_cn&amp;sv=11157d7a41179e994ff540f1f22dd54d","CN101183851")</f>
        <v>CN101183851</v>
      </c>
      <c r="B482" s="7" t="s">
        <v>2385</v>
      </c>
      <c r="C482" s="7" t="s">
        <v>2386</v>
      </c>
      <c r="D482" s="7" t="s">
        <v>524</v>
      </c>
      <c r="E482" s="7" t="s">
        <v>524</v>
      </c>
      <c r="F482" s="7" t="s">
        <v>2387</v>
      </c>
      <c r="G482" s="7" t="s">
        <v>2388</v>
      </c>
      <c r="H482" s="7" t="s">
        <v>0</v>
      </c>
      <c r="I482" s="7" t="s">
        <v>2389</v>
      </c>
      <c r="J482" s="7" t="s">
        <v>1522</v>
      </c>
      <c r="K482" s="7" t="s">
        <v>2390</v>
      </c>
      <c r="L482" s="7" t="s">
        <v>2391</v>
      </c>
      <c r="M482" s="7">
        <v>4</v>
      </c>
      <c r="N482" s="7">
        <v>30</v>
      </c>
      <c r="O482" s="7" t="s">
        <v>42</v>
      </c>
      <c r="P482" s="7" t="s">
        <v>43</v>
      </c>
      <c r="Q482" s="7">
        <v>0</v>
      </c>
      <c r="R482" s="7">
        <v>0</v>
      </c>
      <c r="S482" s="7">
        <v>0</v>
      </c>
      <c r="T482" s="7">
        <v>0</v>
      </c>
      <c r="U482" s="7">
        <v>15</v>
      </c>
      <c r="V482" s="7" t="s">
        <v>2392</v>
      </c>
      <c r="W482" s="7">
        <v>5</v>
      </c>
      <c r="X482" s="7">
        <v>10</v>
      </c>
      <c r="Y482" s="7">
        <v>6</v>
      </c>
      <c r="Z482" s="7">
        <v>1</v>
      </c>
      <c r="AA482" s="7">
        <v>0</v>
      </c>
      <c r="AB482" s="7">
        <v>0</v>
      </c>
      <c r="AC482" s="7" t="s">
        <v>0</v>
      </c>
      <c r="AD482" s="7">
        <v>3</v>
      </c>
      <c r="AE482" s="7" t="s">
        <v>45</v>
      </c>
    </row>
    <row r="483" spans="1:31" ht="63.75" x14ac:dyDescent="0.2">
      <c r="A483" s="8" t="str">
        <f>HYPERLINK("http://www.patentics.cn/invokexml.do?sx=showpatent_cn&amp;sf=ShowPatent&amp;spn=CN102422525B&amp;sx=showpatent_cn&amp;sv=57d8904a54382b269022639738594ccb","CN102422525B")</f>
        <v>CN102422525B</v>
      </c>
      <c r="B483" s="9" t="s">
        <v>2393</v>
      </c>
      <c r="C483" s="9" t="s">
        <v>2394</v>
      </c>
      <c r="D483" s="9" t="s">
        <v>301</v>
      </c>
      <c r="E483" s="9" t="s">
        <v>301</v>
      </c>
      <c r="F483" s="9" t="s">
        <v>2395</v>
      </c>
      <c r="G483" s="9" t="s">
        <v>2396</v>
      </c>
      <c r="H483" s="9" t="s">
        <v>2397</v>
      </c>
      <c r="I483" s="9" t="s">
        <v>2398</v>
      </c>
      <c r="J483" s="9" t="s">
        <v>2399</v>
      </c>
      <c r="K483" s="9" t="s">
        <v>2390</v>
      </c>
      <c r="L483" s="9" t="s">
        <v>2400</v>
      </c>
      <c r="M483" s="9">
        <v>52</v>
      </c>
      <c r="N483" s="9">
        <v>14</v>
      </c>
      <c r="O483" s="9" t="s">
        <v>57</v>
      </c>
      <c r="P483" s="9" t="s">
        <v>58</v>
      </c>
      <c r="Q483" s="9">
        <v>3</v>
      </c>
      <c r="R483" s="9">
        <v>0</v>
      </c>
      <c r="S483" s="9">
        <v>3</v>
      </c>
      <c r="T483" s="9">
        <v>3</v>
      </c>
      <c r="U483" s="9">
        <v>0</v>
      </c>
      <c r="V483" s="9" t="s">
        <v>114</v>
      </c>
      <c r="W483" s="9">
        <v>0</v>
      </c>
      <c r="X483" s="9">
        <v>0</v>
      </c>
      <c r="Y483" s="9">
        <v>0</v>
      </c>
      <c r="Z483" s="9">
        <v>0</v>
      </c>
      <c r="AA483" s="9">
        <v>9</v>
      </c>
      <c r="AB483" s="9">
        <v>7</v>
      </c>
      <c r="AC483" s="9">
        <v>14</v>
      </c>
      <c r="AD483" s="9" t="s">
        <v>0</v>
      </c>
      <c r="AE483" s="9" t="s">
        <v>60</v>
      </c>
    </row>
    <row r="484" spans="1:31" ht="51" x14ac:dyDescent="0.2">
      <c r="A484" s="8" t="str">
        <f>HYPERLINK("http://www.patentics.cn/invokexml.do?sx=showpatent_cn&amp;sf=ShowPatent&amp;spn=CN103916081B&amp;sx=showpatent_cn&amp;sv=9710b3dd59b4a947d01830e15d87f369","CN103916081B")</f>
        <v>CN103916081B</v>
      </c>
      <c r="B484" s="9" t="s">
        <v>2401</v>
      </c>
      <c r="C484" s="9" t="s">
        <v>2402</v>
      </c>
      <c r="D484" s="9" t="s">
        <v>301</v>
      </c>
      <c r="E484" s="9" t="s">
        <v>301</v>
      </c>
      <c r="F484" s="9" t="s">
        <v>2403</v>
      </c>
      <c r="G484" s="9" t="s">
        <v>2404</v>
      </c>
      <c r="H484" s="9" t="s">
        <v>1271</v>
      </c>
      <c r="I484" s="9" t="s">
        <v>2405</v>
      </c>
      <c r="J484" s="9" t="s">
        <v>2406</v>
      </c>
      <c r="K484" s="9" t="s">
        <v>2390</v>
      </c>
      <c r="L484" s="9" t="s">
        <v>2391</v>
      </c>
      <c r="M484" s="9">
        <v>15</v>
      </c>
      <c r="N484" s="9">
        <v>17</v>
      </c>
      <c r="O484" s="9" t="s">
        <v>57</v>
      </c>
      <c r="P484" s="9" t="s">
        <v>58</v>
      </c>
      <c r="Q484" s="9">
        <v>1</v>
      </c>
      <c r="R484" s="9">
        <v>0</v>
      </c>
      <c r="S484" s="9">
        <v>1</v>
      </c>
      <c r="T484" s="9">
        <v>1</v>
      </c>
      <c r="U484" s="9">
        <v>0</v>
      </c>
      <c r="V484" s="9" t="s">
        <v>114</v>
      </c>
      <c r="W484" s="9">
        <v>0</v>
      </c>
      <c r="X484" s="9">
        <v>0</v>
      </c>
      <c r="Y484" s="9">
        <v>0</v>
      </c>
      <c r="Z484" s="9">
        <v>0</v>
      </c>
      <c r="AA484" s="9">
        <v>0</v>
      </c>
      <c r="AB484" s="9">
        <v>0</v>
      </c>
      <c r="AC484" s="9">
        <v>14</v>
      </c>
      <c r="AD484" s="9" t="s">
        <v>0</v>
      </c>
      <c r="AE484" s="9" t="s">
        <v>60</v>
      </c>
    </row>
    <row r="485" spans="1:31" ht="63.75" x14ac:dyDescent="0.2">
      <c r="A485" s="8" t="str">
        <f>HYPERLINK("http://www.patentics.cn/invokexml.do?sx=showpatent_cn&amp;sf=ShowPatent&amp;spn=CN102422525&amp;sx=showpatent_cn&amp;sv=ce0053af104b0efd3ae53d93c8d00c4d","CN102422525")</f>
        <v>CN102422525</v>
      </c>
      <c r="B485" s="9" t="s">
        <v>2393</v>
      </c>
      <c r="C485" s="9" t="s">
        <v>2407</v>
      </c>
      <c r="D485" s="9" t="s">
        <v>301</v>
      </c>
      <c r="E485" s="9" t="s">
        <v>301</v>
      </c>
      <c r="F485" s="9" t="s">
        <v>2408</v>
      </c>
      <c r="G485" s="9" t="s">
        <v>2396</v>
      </c>
      <c r="H485" s="9" t="s">
        <v>2397</v>
      </c>
      <c r="I485" s="9" t="s">
        <v>2398</v>
      </c>
      <c r="J485" s="9" t="s">
        <v>1635</v>
      </c>
      <c r="K485" s="9" t="s">
        <v>2390</v>
      </c>
      <c r="L485" s="9" t="s">
        <v>2400</v>
      </c>
      <c r="M485" s="9">
        <v>55</v>
      </c>
      <c r="N485" s="9">
        <v>9</v>
      </c>
      <c r="O485" s="9" t="s">
        <v>42</v>
      </c>
      <c r="P485" s="9" t="s">
        <v>58</v>
      </c>
      <c r="Q485" s="9">
        <v>3</v>
      </c>
      <c r="R485" s="9">
        <v>0</v>
      </c>
      <c r="S485" s="9">
        <v>3</v>
      </c>
      <c r="T485" s="9">
        <v>3</v>
      </c>
      <c r="U485" s="9">
        <v>1</v>
      </c>
      <c r="V485" s="9" t="s">
        <v>1591</v>
      </c>
      <c r="W485" s="9">
        <v>0</v>
      </c>
      <c r="X485" s="9">
        <v>1</v>
      </c>
      <c r="Y485" s="9">
        <v>1</v>
      </c>
      <c r="Z485" s="9">
        <v>1</v>
      </c>
      <c r="AA485" s="9">
        <v>9</v>
      </c>
      <c r="AB485" s="9">
        <v>7</v>
      </c>
      <c r="AC485" s="9">
        <v>14</v>
      </c>
      <c r="AD485" s="9" t="s">
        <v>0</v>
      </c>
      <c r="AE485" s="9" t="s">
        <v>60</v>
      </c>
    </row>
    <row r="486" spans="1:31" ht="63.75" x14ac:dyDescent="0.2">
      <c r="A486" s="6" t="str">
        <f>HYPERLINK("http://www.patentics.cn/invokexml.do?sx=showpatent_cn&amp;sf=ShowPatent&amp;spn=CN101175041&amp;sx=showpatent_cn&amp;sv=02299fc0a3dce2564c84602e9ea012f3","CN101175041")</f>
        <v>CN101175041</v>
      </c>
      <c r="B486" s="7" t="s">
        <v>2409</v>
      </c>
      <c r="C486" s="7" t="s">
        <v>2410</v>
      </c>
      <c r="D486" s="7" t="s">
        <v>2411</v>
      </c>
      <c r="E486" s="7" t="s">
        <v>2411</v>
      </c>
      <c r="F486" s="7" t="s">
        <v>2412</v>
      </c>
      <c r="G486" s="7" t="s">
        <v>2413</v>
      </c>
      <c r="H486" s="7" t="s">
        <v>0</v>
      </c>
      <c r="I486" s="7" t="s">
        <v>2367</v>
      </c>
      <c r="J486" s="7" t="s">
        <v>2414</v>
      </c>
      <c r="K486" s="7" t="s">
        <v>68</v>
      </c>
      <c r="L486" s="7" t="s">
        <v>1946</v>
      </c>
      <c r="M486" s="7">
        <v>5</v>
      </c>
      <c r="N486" s="7">
        <v>30</v>
      </c>
      <c r="O486" s="7" t="s">
        <v>42</v>
      </c>
      <c r="P486" s="7" t="s">
        <v>43</v>
      </c>
      <c r="Q486" s="7">
        <v>0</v>
      </c>
      <c r="R486" s="7">
        <v>0</v>
      </c>
      <c r="S486" s="7">
        <v>0</v>
      </c>
      <c r="T486" s="7">
        <v>0</v>
      </c>
      <c r="U486" s="7">
        <v>5</v>
      </c>
      <c r="V486" s="7" t="s">
        <v>2415</v>
      </c>
      <c r="W486" s="7">
        <v>0</v>
      </c>
      <c r="X486" s="7">
        <v>5</v>
      </c>
      <c r="Y486" s="7">
        <v>3</v>
      </c>
      <c r="Z486" s="7">
        <v>3</v>
      </c>
      <c r="AA486" s="7">
        <v>0</v>
      </c>
      <c r="AB486" s="7">
        <v>0</v>
      </c>
      <c r="AC486" s="7" t="s">
        <v>0</v>
      </c>
      <c r="AD486" s="7">
        <v>3</v>
      </c>
      <c r="AE486" s="7" t="s">
        <v>45</v>
      </c>
    </row>
    <row r="487" spans="1:31" ht="38.25" x14ac:dyDescent="0.2">
      <c r="A487" s="8" t="str">
        <f>HYPERLINK("http://www.patentics.cn/invokexml.do?sx=showpatent_cn&amp;sf=ShowPatent&amp;spn=US8929388&amp;sx=showpatent_cn&amp;sv=0ead1b81ee9feea5f94917582627a2c4","US8929388")</f>
        <v>US8929388</v>
      </c>
      <c r="B487" s="9" t="s">
        <v>2416</v>
      </c>
      <c r="C487" s="9" t="s">
        <v>2417</v>
      </c>
      <c r="D487" s="9" t="s">
        <v>48</v>
      </c>
      <c r="E487" s="9" t="s">
        <v>49</v>
      </c>
      <c r="F487" s="9" t="s">
        <v>2418</v>
      </c>
      <c r="G487" s="9" t="s">
        <v>2419</v>
      </c>
      <c r="H487" s="9" t="s">
        <v>2420</v>
      </c>
      <c r="I487" s="9" t="s">
        <v>1222</v>
      </c>
      <c r="J487" s="9" t="s">
        <v>2421</v>
      </c>
      <c r="K487" s="9" t="s">
        <v>68</v>
      </c>
      <c r="L487" s="9" t="s">
        <v>2422</v>
      </c>
      <c r="M487" s="9">
        <v>18</v>
      </c>
      <c r="N487" s="9">
        <v>10</v>
      </c>
      <c r="O487" s="9" t="s">
        <v>57</v>
      </c>
      <c r="P487" s="9" t="s">
        <v>58</v>
      </c>
      <c r="Q487" s="9">
        <v>28</v>
      </c>
      <c r="R487" s="9">
        <v>3</v>
      </c>
      <c r="S487" s="9">
        <v>25</v>
      </c>
      <c r="T487" s="9">
        <v>21</v>
      </c>
      <c r="U487" s="9">
        <v>0</v>
      </c>
      <c r="V487" s="9" t="s">
        <v>114</v>
      </c>
      <c r="W487" s="9">
        <v>0</v>
      </c>
      <c r="X487" s="9">
        <v>0</v>
      </c>
      <c r="Y487" s="9">
        <v>0</v>
      </c>
      <c r="Z487" s="9">
        <v>0</v>
      </c>
      <c r="AA487" s="9">
        <v>14</v>
      </c>
      <c r="AB487" s="9">
        <v>7</v>
      </c>
      <c r="AC487" s="9">
        <v>14</v>
      </c>
      <c r="AD487" s="9" t="s">
        <v>0</v>
      </c>
      <c r="AE487" s="9" t="s">
        <v>60</v>
      </c>
    </row>
    <row r="488" spans="1:31" ht="38.25" x14ac:dyDescent="0.2">
      <c r="A488" s="8" t="str">
        <f>HYPERLINK("http://www.patentics.cn/invokexml.do?sx=showpatent_cn&amp;sf=ShowPatent&amp;spn=CN102474793B&amp;sx=showpatent_cn&amp;sv=36e79fe9c3683274cfad3fe67dd93196","CN102474793B")</f>
        <v>CN102474793B</v>
      </c>
      <c r="B488" s="9" t="s">
        <v>2423</v>
      </c>
      <c r="C488" s="9" t="s">
        <v>2424</v>
      </c>
      <c r="D488" s="9" t="s">
        <v>301</v>
      </c>
      <c r="E488" s="9" t="s">
        <v>301</v>
      </c>
      <c r="F488" s="9" t="s">
        <v>2425</v>
      </c>
      <c r="G488" s="9" t="s">
        <v>2426</v>
      </c>
      <c r="H488" s="9" t="s">
        <v>2420</v>
      </c>
      <c r="I488" s="9" t="s">
        <v>2427</v>
      </c>
      <c r="J488" s="9" t="s">
        <v>2428</v>
      </c>
      <c r="K488" s="9" t="s">
        <v>55</v>
      </c>
      <c r="L488" s="9" t="s">
        <v>2429</v>
      </c>
      <c r="M488" s="9">
        <v>25</v>
      </c>
      <c r="N488" s="9">
        <v>30</v>
      </c>
      <c r="O488" s="9" t="s">
        <v>57</v>
      </c>
      <c r="P488" s="9" t="s">
        <v>58</v>
      </c>
      <c r="Q488" s="9">
        <v>3</v>
      </c>
      <c r="R488" s="9">
        <v>0</v>
      </c>
      <c r="S488" s="9">
        <v>3</v>
      </c>
      <c r="T488" s="9">
        <v>3</v>
      </c>
      <c r="U488" s="9">
        <v>0</v>
      </c>
      <c r="V488" s="9" t="s">
        <v>114</v>
      </c>
      <c r="W488" s="9">
        <v>0</v>
      </c>
      <c r="X488" s="9">
        <v>0</v>
      </c>
      <c r="Y488" s="9">
        <v>0</v>
      </c>
      <c r="Z488" s="9">
        <v>0</v>
      </c>
      <c r="AA488" s="9">
        <v>0</v>
      </c>
      <c r="AB488" s="9">
        <v>0</v>
      </c>
      <c r="AC488" s="9">
        <v>14</v>
      </c>
      <c r="AD488" s="9" t="s">
        <v>0</v>
      </c>
      <c r="AE488" s="9" t="s">
        <v>60</v>
      </c>
    </row>
    <row r="489" spans="1:31" ht="38.25" x14ac:dyDescent="0.2">
      <c r="A489" s="8" t="str">
        <f>HYPERLINK("http://www.patentics.cn/invokexml.do?sx=showpatent_cn&amp;sf=ShowPatent&amp;spn=CN102474793&amp;sx=showpatent_cn&amp;sv=e09fd40ee8ef25c329993dc06090bc09","CN102474793")</f>
        <v>CN102474793</v>
      </c>
      <c r="B489" s="9" t="s">
        <v>2423</v>
      </c>
      <c r="C489" s="9" t="s">
        <v>2424</v>
      </c>
      <c r="D489" s="9" t="s">
        <v>301</v>
      </c>
      <c r="E489" s="9" t="s">
        <v>301</v>
      </c>
      <c r="F489" s="9" t="s">
        <v>2425</v>
      </c>
      <c r="G489" s="9" t="s">
        <v>2426</v>
      </c>
      <c r="H489" s="9" t="s">
        <v>2420</v>
      </c>
      <c r="I489" s="9" t="s">
        <v>2427</v>
      </c>
      <c r="J489" s="9" t="s">
        <v>429</v>
      </c>
      <c r="K489" s="9" t="s">
        <v>55</v>
      </c>
      <c r="L489" s="9" t="s">
        <v>2429</v>
      </c>
      <c r="M489" s="9">
        <v>26</v>
      </c>
      <c r="N489" s="9">
        <v>20</v>
      </c>
      <c r="O489" s="9" t="s">
        <v>42</v>
      </c>
      <c r="P489" s="9" t="s">
        <v>58</v>
      </c>
      <c r="Q489" s="9">
        <v>4</v>
      </c>
      <c r="R489" s="9">
        <v>0</v>
      </c>
      <c r="S489" s="9">
        <v>4</v>
      </c>
      <c r="T489" s="9">
        <v>4</v>
      </c>
      <c r="U489" s="9">
        <v>1</v>
      </c>
      <c r="V489" s="9" t="s">
        <v>78</v>
      </c>
      <c r="W489" s="9">
        <v>0</v>
      </c>
      <c r="X489" s="9">
        <v>1</v>
      </c>
      <c r="Y489" s="9">
        <v>1</v>
      </c>
      <c r="Z489" s="9">
        <v>1</v>
      </c>
      <c r="AA489" s="9">
        <v>14</v>
      </c>
      <c r="AB489" s="9">
        <v>7</v>
      </c>
      <c r="AC489" s="9">
        <v>14</v>
      </c>
      <c r="AD489" s="9" t="s">
        <v>0</v>
      </c>
      <c r="AE489" s="9" t="s">
        <v>60</v>
      </c>
    </row>
    <row r="490" spans="1:31" ht="38.25" x14ac:dyDescent="0.2">
      <c r="A490" s="6" t="str">
        <f>HYPERLINK("http://www.patentics.cn/invokexml.do?sx=showpatent_cn&amp;sf=ShowPatent&amp;spn=CN101170573&amp;sx=showpatent_cn&amp;sv=c6824ba4d1be6f3767608e2e62deb2e6","CN101170573")</f>
        <v>CN101170573</v>
      </c>
      <c r="B490" s="7" t="s">
        <v>2430</v>
      </c>
      <c r="C490" s="7" t="s">
        <v>2431</v>
      </c>
      <c r="D490" s="7" t="s">
        <v>2432</v>
      </c>
      <c r="E490" s="7" t="s">
        <v>2432</v>
      </c>
      <c r="F490" s="7" t="s">
        <v>2433</v>
      </c>
      <c r="G490" s="7" t="s">
        <v>2434</v>
      </c>
      <c r="H490" s="7" t="s">
        <v>1914</v>
      </c>
      <c r="I490" s="7" t="s">
        <v>1914</v>
      </c>
      <c r="J490" s="7" t="s">
        <v>2435</v>
      </c>
      <c r="K490" s="7" t="s">
        <v>68</v>
      </c>
      <c r="L490" s="7" t="s">
        <v>2436</v>
      </c>
      <c r="M490" s="7">
        <v>10</v>
      </c>
      <c r="N490" s="7">
        <v>16</v>
      </c>
      <c r="O490" s="7" t="s">
        <v>42</v>
      </c>
      <c r="P490" s="7" t="s">
        <v>43</v>
      </c>
      <c r="Q490" s="7">
        <v>0</v>
      </c>
      <c r="R490" s="7">
        <v>0</v>
      </c>
      <c r="S490" s="7">
        <v>0</v>
      </c>
      <c r="T490" s="7">
        <v>0</v>
      </c>
      <c r="U490" s="7">
        <v>5</v>
      </c>
      <c r="V490" s="7" t="s">
        <v>2437</v>
      </c>
      <c r="W490" s="7">
        <v>0</v>
      </c>
      <c r="X490" s="7">
        <v>5</v>
      </c>
      <c r="Y490" s="7">
        <v>3</v>
      </c>
      <c r="Z490" s="7">
        <v>2</v>
      </c>
      <c r="AA490" s="7">
        <v>1</v>
      </c>
      <c r="AB490" s="7">
        <v>1</v>
      </c>
      <c r="AC490" s="7" t="s">
        <v>0</v>
      </c>
      <c r="AD490" s="7">
        <v>3</v>
      </c>
      <c r="AE490" s="7" t="s">
        <v>532</v>
      </c>
    </row>
    <row r="491" spans="1:31" ht="191.25" x14ac:dyDescent="0.2">
      <c r="A491" s="8" t="str">
        <f>HYPERLINK("http://www.patentics.cn/invokexml.do?sx=showpatent_cn&amp;sf=ShowPatent&amp;spn=US9432271&amp;sx=showpatent_cn&amp;sv=837b756e59e683b9fb5bd130f83bf42a","US9432271")</f>
        <v>US9432271</v>
      </c>
      <c r="B491" s="9" t="s">
        <v>2438</v>
      </c>
      <c r="C491" s="9" t="s">
        <v>2439</v>
      </c>
      <c r="D491" s="9" t="s">
        <v>48</v>
      </c>
      <c r="E491" s="9" t="s">
        <v>49</v>
      </c>
      <c r="F491" s="9" t="s">
        <v>2440</v>
      </c>
      <c r="G491" s="9" t="s">
        <v>2441</v>
      </c>
      <c r="H491" s="9" t="s">
        <v>2442</v>
      </c>
      <c r="I491" s="9" t="s">
        <v>1035</v>
      </c>
      <c r="J491" s="9" t="s">
        <v>1682</v>
      </c>
      <c r="K491" s="9" t="s">
        <v>885</v>
      </c>
      <c r="L491" s="9" t="s">
        <v>2443</v>
      </c>
      <c r="M491" s="9">
        <v>14</v>
      </c>
      <c r="N491" s="9">
        <v>11</v>
      </c>
      <c r="O491" s="9" t="s">
        <v>57</v>
      </c>
      <c r="P491" s="9" t="s">
        <v>58</v>
      </c>
      <c r="Q491" s="9">
        <v>59</v>
      </c>
      <c r="R491" s="9">
        <v>4</v>
      </c>
      <c r="S491" s="9">
        <v>55</v>
      </c>
      <c r="T491" s="9">
        <v>41</v>
      </c>
      <c r="U491" s="9">
        <v>0</v>
      </c>
      <c r="V491" s="9" t="s">
        <v>114</v>
      </c>
      <c r="W491" s="9">
        <v>0</v>
      </c>
      <c r="X491" s="9">
        <v>0</v>
      </c>
      <c r="Y491" s="9">
        <v>0</v>
      </c>
      <c r="Z491" s="9">
        <v>0</v>
      </c>
      <c r="AA491" s="9">
        <v>34</v>
      </c>
      <c r="AB491" s="9">
        <v>7</v>
      </c>
      <c r="AC491" s="9">
        <v>14</v>
      </c>
      <c r="AD491" s="9" t="s">
        <v>0</v>
      </c>
      <c r="AE491" s="9" t="s">
        <v>60</v>
      </c>
    </row>
    <row r="492" spans="1:31" ht="153" x14ac:dyDescent="0.2">
      <c r="A492" s="8" t="str">
        <f>HYPERLINK("http://www.patentics.cn/invokexml.do?sx=showpatent_cn&amp;sf=ShowPatent&amp;spn=CN102804688B&amp;sx=showpatent_cn&amp;sv=ed4e37255edd7d84acad0df4430ec162","CN102804688B")</f>
        <v>CN102804688B</v>
      </c>
      <c r="B492" s="9" t="s">
        <v>2444</v>
      </c>
      <c r="C492" s="9" t="s">
        <v>2445</v>
      </c>
      <c r="D492" s="9" t="s">
        <v>301</v>
      </c>
      <c r="E492" s="9" t="s">
        <v>301</v>
      </c>
      <c r="F492" s="9" t="s">
        <v>2446</v>
      </c>
      <c r="G492" s="9" t="s">
        <v>2447</v>
      </c>
      <c r="H492" s="9" t="s">
        <v>2442</v>
      </c>
      <c r="I492" s="9" t="s">
        <v>374</v>
      </c>
      <c r="J492" s="9" t="s">
        <v>326</v>
      </c>
      <c r="K492" s="9" t="s">
        <v>68</v>
      </c>
      <c r="L492" s="9" t="s">
        <v>2448</v>
      </c>
      <c r="M492" s="9">
        <v>13</v>
      </c>
      <c r="N492" s="9">
        <v>10</v>
      </c>
      <c r="O492" s="9" t="s">
        <v>57</v>
      </c>
      <c r="P492" s="9" t="s">
        <v>58</v>
      </c>
      <c r="Q492" s="9">
        <v>5</v>
      </c>
      <c r="R492" s="9">
        <v>0</v>
      </c>
      <c r="S492" s="9">
        <v>5</v>
      </c>
      <c r="T492" s="9">
        <v>4</v>
      </c>
      <c r="U492" s="9">
        <v>0</v>
      </c>
      <c r="V492" s="9" t="s">
        <v>114</v>
      </c>
      <c r="W492" s="9">
        <v>0</v>
      </c>
      <c r="X492" s="9">
        <v>0</v>
      </c>
      <c r="Y492" s="9">
        <v>0</v>
      </c>
      <c r="Z492" s="9">
        <v>0</v>
      </c>
      <c r="AA492" s="9">
        <v>34</v>
      </c>
      <c r="AB492" s="9">
        <v>7</v>
      </c>
      <c r="AC492" s="9">
        <v>14</v>
      </c>
      <c r="AD492" s="9" t="s">
        <v>0</v>
      </c>
      <c r="AE492" s="9" t="s">
        <v>60</v>
      </c>
    </row>
    <row r="493" spans="1:31" ht="153" x14ac:dyDescent="0.2">
      <c r="A493" s="8" t="str">
        <f>HYPERLINK("http://www.patentics.cn/invokexml.do?sx=showpatent_cn&amp;sf=ShowPatent&amp;spn=CN102804688&amp;sx=showpatent_cn&amp;sv=1cf242f04867f6d64a0c747c5f7db7d9","CN102804688")</f>
        <v>CN102804688</v>
      </c>
      <c r="B493" s="9" t="s">
        <v>2444</v>
      </c>
      <c r="C493" s="9" t="s">
        <v>2445</v>
      </c>
      <c r="D493" s="9" t="s">
        <v>301</v>
      </c>
      <c r="E493" s="9" t="s">
        <v>301</v>
      </c>
      <c r="F493" s="9" t="s">
        <v>2446</v>
      </c>
      <c r="G493" s="9" t="s">
        <v>2447</v>
      </c>
      <c r="H493" s="9" t="s">
        <v>2442</v>
      </c>
      <c r="I493" s="9" t="s">
        <v>374</v>
      </c>
      <c r="J493" s="9" t="s">
        <v>2449</v>
      </c>
      <c r="K493" s="9" t="s">
        <v>68</v>
      </c>
      <c r="L493" s="9" t="s">
        <v>2448</v>
      </c>
      <c r="M493" s="9">
        <v>17</v>
      </c>
      <c r="N493" s="9">
        <v>6</v>
      </c>
      <c r="O493" s="9" t="s">
        <v>42</v>
      </c>
      <c r="P493" s="9" t="s">
        <v>58</v>
      </c>
      <c r="Q493" s="9">
        <v>5</v>
      </c>
      <c r="R493" s="9">
        <v>0</v>
      </c>
      <c r="S493" s="9">
        <v>5</v>
      </c>
      <c r="T493" s="9">
        <v>4</v>
      </c>
      <c r="U493" s="9">
        <v>0</v>
      </c>
      <c r="V493" s="9" t="s">
        <v>114</v>
      </c>
      <c r="W493" s="9">
        <v>0</v>
      </c>
      <c r="X493" s="9">
        <v>0</v>
      </c>
      <c r="Y493" s="9">
        <v>0</v>
      </c>
      <c r="Z493" s="9">
        <v>0</v>
      </c>
      <c r="AA493" s="9">
        <v>34</v>
      </c>
      <c r="AB493" s="9">
        <v>7</v>
      </c>
      <c r="AC493" s="9">
        <v>14</v>
      </c>
      <c r="AD493" s="9" t="s">
        <v>0</v>
      </c>
      <c r="AE493" s="9" t="s">
        <v>60</v>
      </c>
    </row>
    <row r="494" spans="1:31" ht="51" x14ac:dyDescent="0.2">
      <c r="A494" s="6" t="str">
        <f>HYPERLINK("http://www.patentics.cn/invokexml.do?sx=showpatent_cn&amp;sf=ShowPatent&amp;spn=CN101163159&amp;sx=showpatent_cn&amp;sv=1a81a7a67ae093e2749699fbcafe69db","CN101163159")</f>
        <v>CN101163159</v>
      </c>
      <c r="B494" s="7" t="s">
        <v>2450</v>
      </c>
      <c r="C494" s="7" t="s">
        <v>2451</v>
      </c>
      <c r="D494" s="7" t="s">
        <v>932</v>
      </c>
      <c r="E494" s="7" t="s">
        <v>932</v>
      </c>
      <c r="F494" s="7" t="s">
        <v>2452</v>
      </c>
      <c r="G494" s="7" t="s">
        <v>2453</v>
      </c>
      <c r="H494" s="7" t="s">
        <v>2069</v>
      </c>
      <c r="I494" s="7" t="s">
        <v>2069</v>
      </c>
      <c r="J494" s="7" t="s">
        <v>2454</v>
      </c>
      <c r="K494" s="7" t="s">
        <v>68</v>
      </c>
      <c r="L494" s="7" t="s">
        <v>2436</v>
      </c>
      <c r="M494" s="7">
        <v>6</v>
      </c>
      <c r="N494" s="7">
        <v>16</v>
      </c>
      <c r="O494" s="7" t="s">
        <v>42</v>
      </c>
      <c r="P494" s="7" t="s">
        <v>43</v>
      </c>
      <c r="Q494" s="7">
        <v>0</v>
      </c>
      <c r="R494" s="7">
        <v>0</v>
      </c>
      <c r="S494" s="7">
        <v>0</v>
      </c>
      <c r="T494" s="7">
        <v>0</v>
      </c>
      <c r="U494" s="7">
        <v>4</v>
      </c>
      <c r="V494" s="7" t="s">
        <v>2455</v>
      </c>
      <c r="W494" s="7">
        <v>0</v>
      </c>
      <c r="X494" s="7">
        <v>4</v>
      </c>
      <c r="Y494" s="7">
        <v>2</v>
      </c>
      <c r="Z494" s="7">
        <v>2</v>
      </c>
      <c r="AA494" s="7">
        <v>1</v>
      </c>
      <c r="AB494" s="7">
        <v>1</v>
      </c>
      <c r="AC494" s="7" t="s">
        <v>0</v>
      </c>
      <c r="AD494" s="7">
        <v>3</v>
      </c>
      <c r="AE494" s="7" t="s">
        <v>532</v>
      </c>
    </row>
    <row r="495" spans="1:31" ht="191.25" x14ac:dyDescent="0.2">
      <c r="A495" s="8" t="str">
        <f>HYPERLINK("http://www.patentics.cn/invokexml.do?sx=showpatent_cn&amp;sf=ShowPatent&amp;spn=US9432271&amp;sx=showpatent_cn&amp;sv=837b756e59e683b9fb5bd130f83bf42a","US9432271")</f>
        <v>US9432271</v>
      </c>
      <c r="B495" s="9" t="s">
        <v>2438</v>
      </c>
      <c r="C495" s="9" t="s">
        <v>2439</v>
      </c>
      <c r="D495" s="9" t="s">
        <v>48</v>
      </c>
      <c r="E495" s="9" t="s">
        <v>49</v>
      </c>
      <c r="F495" s="9" t="s">
        <v>2440</v>
      </c>
      <c r="G495" s="9" t="s">
        <v>2441</v>
      </c>
      <c r="H495" s="9" t="s">
        <v>2442</v>
      </c>
      <c r="I495" s="9" t="s">
        <v>1035</v>
      </c>
      <c r="J495" s="9" t="s">
        <v>1682</v>
      </c>
      <c r="K495" s="9" t="s">
        <v>885</v>
      </c>
      <c r="L495" s="9" t="s">
        <v>2443</v>
      </c>
      <c r="M495" s="9">
        <v>14</v>
      </c>
      <c r="N495" s="9">
        <v>11</v>
      </c>
      <c r="O495" s="9" t="s">
        <v>57</v>
      </c>
      <c r="P495" s="9" t="s">
        <v>58</v>
      </c>
      <c r="Q495" s="9">
        <v>59</v>
      </c>
      <c r="R495" s="9">
        <v>4</v>
      </c>
      <c r="S495" s="9">
        <v>55</v>
      </c>
      <c r="T495" s="9">
        <v>41</v>
      </c>
      <c r="U495" s="9">
        <v>0</v>
      </c>
      <c r="V495" s="9" t="s">
        <v>114</v>
      </c>
      <c r="W495" s="9">
        <v>0</v>
      </c>
      <c r="X495" s="9">
        <v>0</v>
      </c>
      <c r="Y495" s="9">
        <v>0</v>
      </c>
      <c r="Z495" s="9">
        <v>0</v>
      </c>
      <c r="AA495" s="9">
        <v>34</v>
      </c>
      <c r="AB495" s="9">
        <v>7</v>
      </c>
      <c r="AC495" s="9">
        <v>14</v>
      </c>
      <c r="AD495" s="9" t="s">
        <v>0</v>
      </c>
      <c r="AE495" s="9" t="s">
        <v>60</v>
      </c>
    </row>
    <row r="496" spans="1:31" ht="153" x14ac:dyDescent="0.2">
      <c r="A496" s="8" t="str">
        <f>HYPERLINK("http://www.patentics.cn/invokexml.do?sx=showpatent_cn&amp;sf=ShowPatent&amp;spn=CN102461072B&amp;sx=showpatent_cn&amp;sv=844a4a87c36db3e658f80b66c056f94c","CN102461072B")</f>
        <v>CN102461072B</v>
      </c>
      <c r="B496" s="9" t="s">
        <v>2456</v>
      </c>
      <c r="C496" s="9" t="s">
        <v>2457</v>
      </c>
      <c r="D496" s="9" t="s">
        <v>301</v>
      </c>
      <c r="E496" s="9" t="s">
        <v>301</v>
      </c>
      <c r="F496" s="9" t="s">
        <v>2446</v>
      </c>
      <c r="G496" s="9" t="s">
        <v>2447</v>
      </c>
      <c r="H496" s="9" t="s">
        <v>2442</v>
      </c>
      <c r="I496" s="9" t="s">
        <v>374</v>
      </c>
      <c r="J496" s="9" t="s">
        <v>2458</v>
      </c>
      <c r="K496" s="9" t="s">
        <v>68</v>
      </c>
      <c r="L496" s="9" t="s">
        <v>2448</v>
      </c>
      <c r="M496" s="9">
        <v>49</v>
      </c>
      <c r="N496" s="9">
        <v>11</v>
      </c>
      <c r="O496" s="9" t="s">
        <v>57</v>
      </c>
      <c r="P496" s="9" t="s">
        <v>58</v>
      </c>
      <c r="Q496" s="9">
        <v>2</v>
      </c>
      <c r="R496" s="9">
        <v>0</v>
      </c>
      <c r="S496" s="9">
        <v>2</v>
      </c>
      <c r="T496" s="9">
        <v>2</v>
      </c>
      <c r="U496" s="9">
        <v>0</v>
      </c>
      <c r="V496" s="9" t="s">
        <v>114</v>
      </c>
      <c r="W496" s="9">
        <v>0</v>
      </c>
      <c r="X496" s="9">
        <v>0</v>
      </c>
      <c r="Y496" s="9">
        <v>0</v>
      </c>
      <c r="Z496" s="9">
        <v>0</v>
      </c>
      <c r="AA496" s="9">
        <v>34</v>
      </c>
      <c r="AB496" s="9">
        <v>7</v>
      </c>
      <c r="AC496" s="9">
        <v>14</v>
      </c>
      <c r="AD496" s="9" t="s">
        <v>0</v>
      </c>
      <c r="AE496" s="9" t="s">
        <v>60</v>
      </c>
    </row>
    <row r="497" spans="1:31" ht="153" x14ac:dyDescent="0.2">
      <c r="A497" s="8" t="str">
        <f>HYPERLINK("http://www.patentics.cn/invokexml.do?sx=showpatent_cn&amp;sf=ShowPatent&amp;spn=CN102461072&amp;sx=showpatent_cn&amp;sv=31a3d3cb64c80b52ca56f29491f12dd7","CN102461072")</f>
        <v>CN102461072</v>
      </c>
      <c r="B497" s="9" t="s">
        <v>2456</v>
      </c>
      <c r="C497" s="9" t="s">
        <v>2457</v>
      </c>
      <c r="D497" s="9" t="s">
        <v>301</v>
      </c>
      <c r="E497" s="9" t="s">
        <v>301</v>
      </c>
      <c r="F497" s="9" t="s">
        <v>2446</v>
      </c>
      <c r="G497" s="9" t="s">
        <v>2447</v>
      </c>
      <c r="H497" s="9" t="s">
        <v>2442</v>
      </c>
      <c r="I497" s="9" t="s">
        <v>374</v>
      </c>
      <c r="J497" s="9" t="s">
        <v>2459</v>
      </c>
      <c r="K497" s="9" t="s">
        <v>68</v>
      </c>
      <c r="L497" s="9" t="s">
        <v>2448</v>
      </c>
      <c r="M497" s="9">
        <v>62</v>
      </c>
      <c r="N497" s="9">
        <v>5</v>
      </c>
      <c r="O497" s="9" t="s">
        <v>42</v>
      </c>
      <c r="P497" s="9" t="s">
        <v>58</v>
      </c>
      <c r="Q497" s="9">
        <v>4</v>
      </c>
      <c r="R497" s="9">
        <v>0</v>
      </c>
      <c r="S497" s="9">
        <v>4</v>
      </c>
      <c r="T497" s="9">
        <v>3</v>
      </c>
      <c r="U497" s="9">
        <v>0</v>
      </c>
      <c r="V497" s="9" t="s">
        <v>114</v>
      </c>
      <c r="W497" s="9">
        <v>0</v>
      </c>
      <c r="X497" s="9">
        <v>0</v>
      </c>
      <c r="Y497" s="9">
        <v>0</v>
      </c>
      <c r="Z497" s="9">
        <v>0</v>
      </c>
      <c r="AA497" s="9">
        <v>34</v>
      </c>
      <c r="AB497" s="9">
        <v>7</v>
      </c>
      <c r="AC497" s="9">
        <v>14</v>
      </c>
      <c r="AD497" s="9" t="s">
        <v>0</v>
      </c>
      <c r="AE497" s="9" t="s">
        <v>60</v>
      </c>
    </row>
    <row r="498" spans="1:31" ht="25.5" x14ac:dyDescent="0.2">
      <c r="A498" s="6" t="str">
        <f>HYPERLINK("http://www.patentics.cn/invokexml.do?sx=showpatent_cn&amp;sf=ShowPatent&amp;spn=CN101123458&amp;sx=showpatent_cn&amp;sv=37defb4c5534e6cabb6a5cde15c34e36","CN101123458")</f>
        <v>CN101123458</v>
      </c>
      <c r="B498" s="7" t="s">
        <v>2460</v>
      </c>
      <c r="C498" s="7" t="s">
        <v>2461</v>
      </c>
      <c r="D498" s="7" t="s">
        <v>2246</v>
      </c>
      <c r="E498" s="7" t="s">
        <v>2246</v>
      </c>
      <c r="F498" s="7" t="s">
        <v>2462</v>
      </c>
      <c r="G498" s="7" t="s">
        <v>2463</v>
      </c>
      <c r="H498" s="7" t="s">
        <v>0</v>
      </c>
      <c r="I498" s="7" t="s">
        <v>2464</v>
      </c>
      <c r="J498" s="7" t="s">
        <v>2465</v>
      </c>
      <c r="K498" s="7" t="s">
        <v>89</v>
      </c>
      <c r="L498" s="7" t="s">
        <v>1811</v>
      </c>
      <c r="M498" s="7">
        <v>6</v>
      </c>
      <c r="N498" s="7">
        <v>15</v>
      </c>
      <c r="O498" s="7" t="s">
        <v>42</v>
      </c>
      <c r="P498" s="7" t="s">
        <v>43</v>
      </c>
      <c r="Q498" s="7">
        <v>0</v>
      </c>
      <c r="R498" s="7">
        <v>0</v>
      </c>
      <c r="S498" s="7">
        <v>0</v>
      </c>
      <c r="T498" s="7">
        <v>0</v>
      </c>
      <c r="U498" s="7">
        <v>3</v>
      </c>
      <c r="V498" s="7" t="s">
        <v>2466</v>
      </c>
      <c r="W498" s="7">
        <v>0</v>
      </c>
      <c r="X498" s="7">
        <v>3</v>
      </c>
      <c r="Y498" s="7">
        <v>1</v>
      </c>
      <c r="Z498" s="7">
        <v>2</v>
      </c>
      <c r="AA498" s="7">
        <v>0</v>
      </c>
      <c r="AB498" s="7">
        <v>0</v>
      </c>
      <c r="AC498" s="7" t="s">
        <v>0</v>
      </c>
      <c r="AD498" s="7">
        <v>3</v>
      </c>
      <c r="AE498" s="7" t="s">
        <v>1390</v>
      </c>
    </row>
    <row r="499" spans="1:31" ht="89.25" x14ac:dyDescent="0.2">
      <c r="A499" s="8" t="str">
        <f>HYPERLINK("http://www.patentics.cn/invokexml.do?sx=showpatent_cn&amp;sf=ShowPatent&amp;spn=US9179426&amp;sx=showpatent_cn&amp;sv=1ce637228bc853ce93716e66e6b81e33","US9179426")</f>
        <v>US9179426</v>
      </c>
      <c r="B499" s="9" t="s">
        <v>2467</v>
      </c>
      <c r="C499" s="9" t="s">
        <v>2468</v>
      </c>
      <c r="D499" s="9" t="s">
        <v>48</v>
      </c>
      <c r="E499" s="9" t="s">
        <v>49</v>
      </c>
      <c r="F499" s="9" t="s">
        <v>2469</v>
      </c>
      <c r="G499" s="9" t="s">
        <v>2470</v>
      </c>
      <c r="H499" s="9" t="s">
        <v>2398</v>
      </c>
      <c r="I499" s="9" t="s">
        <v>2471</v>
      </c>
      <c r="J499" s="9" t="s">
        <v>228</v>
      </c>
      <c r="K499" s="9" t="s">
        <v>55</v>
      </c>
      <c r="L499" s="9" t="s">
        <v>2472</v>
      </c>
      <c r="M499" s="9">
        <v>26</v>
      </c>
      <c r="N499" s="9">
        <v>11</v>
      </c>
      <c r="O499" s="9" t="s">
        <v>57</v>
      </c>
      <c r="P499" s="9" t="s">
        <v>58</v>
      </c>
      <c r="Q499" s="9">
        <v>14</v>
      </c>
      <c r="R499" s="9">
        <v>4</v>
      </c>
      <c r="S499" s="9">
        <v>10</v>
      </c>
      <c r="T499" s="9">
        <v>7</v>
      </c>
      <c r="U499" s="9">
        <v>1</v>
      </c>
      <c r="V499" s="9" t="s">
        <v>1752</v>
      </c>
      <c r="W499" s="9">
        <v>0</v>
      </c>
      <c r="X499" s="9">
        <v>1</v>
      </c>
      <c r="Y499" s="9">
        <v>1</v>
      </c>
      <c r="Z499" s="9">
        <v>1</v>
      </c>
      <c r="AA499" s="9">
        <v>11</v>
      </c>
      <c r="AB499" s="9">
        <v>6</v>
      </c>
      <c r="AC499" s="9">
        <v>14</v>
      </c>
      <c r="AD499" s="9" t="s">
        <v>0</v>
      </c>
      <c r="AE499" s="9" t="s">
        <v>60</v>
      </c>
    </row>
    <row r="500" spans="1:31" ht="38.25" x14ac:dyDescent="0.2">
      <c r="A500" s="8" t="str">
        <f>HYPERLINK("http://www.patentics.cn/invokexml.do?sx=showpatent_cn&amp;sf=ShowPatent&amp;spn=CN102884846B&amp;sx=showpatent_cn&amp;sv=23753cd29872924343712f83531b77b0","CN102884846B")</f>
        <v>CN102884846B</v>
      </c>
      <c r="B500" s="9" t="s">
        <v>2473</v>
      </c>
      <c r="C500" s="9" t="s">
        <v>2474</v>
      </c>
      <c r="D500" s="9" t="s">
        <v>301</v>
      </c>
      <c r="E500" s="9" t="s">
        <v>301</v>
      </c>
      <c r="F500" s="9" t="s">
        <v>2475</v>
      </c>
      <c r="G500" s="9" t="s">
        <v>2476</v>
      </c>
      <c r="H500" s="9" t="s">
        <v>2398</v>
      </c>
      <c r="I500" s="9" t="s">
        <v>2477</v>
      </c>
      <c r="J500" s="9" t="s">
        <v>1725</v>
      </c>
      <c r="K500" s="9" t="s">
        <v>55</v>
      </c>
      <c r="L500" s="9" t="s">
        <v>2478</v>
      </c>
      <c r="M500" s="9">
        <v>25</v>
      </c>
      <c r="N500" s="9">
        <v>13</v>
      </c>
      <c r="O500" s="9" t="s">
        <v>57</v>
      </c>
      <c r="P500" s="9" t="s">
        <v>58</v>
      </c>
      <c r="Q500" s="9">
        <v>4</v>
      </c>
      <c r="R500" s="9">
        <v>1</v>
      </c>
      <c r="S500" s="9">
        <v>3</v>
      </c>
      <c r="T500" s="9">
        <v>4</v>
      </c>
      <c r="U500" s="9">
        <v>0</v>
      </c>
      <c r="V500" s="9" t="s">
        <v>114</v>
      </c>
      <c r="W500" s="9">
        <v>0</v>
      </c>
      <c r="X500" s="9">
        <v>0</v>
      </c>
      <c r="Y500" s="9">
        <v>0</v>
      </c>
      <c r="Z500" s="9">
        <v>0</v>
      </c>
      <c r="AA500" s="9">
        <v>11</v>
      </c>
      <c r="AB500" s="9">
        <v>6</v>
      </c>
      <c r="AC500" s="9">
        <v>14</v>
      </c>
      <c r="AD500" s="9" t="s">
        <v>0</v>
      </c>
      <c r="AE500" s="9" t="s">
        <v>60</v>
      </c>
    </row>
    <row r="501" spans="1:31" ht="38.25" x14ac:dyDescent="0.2">
      <c r="A501" s="8" t="str">
        <f>HYPERLINK("http://www.patentics.cn/invokexml.do?sx=showpatent_cn&amp;sf=ShowPatent&amp;spn=CN102884846&amp;sx=showpatent_cn&amp;sv=d276bdf78e8760d57b62827877fd8a7c","CN102884846")</f>
        <v>CN102884846</v>
      </c>
      <c r="B501" s="9" t="s">
        <v>2473</v>
      </c>
      <c r="C501" s="9" t="s">
        <v>2474</v>
      </c>
      <c r="D501" s="9" t="s">
        <v>301</v>
      </c>
      <c r="E501" s="9" t="s">
        <v>301</v>
      </c>
      <c r="F501" s="9" t="s">
        <v>2475</v>
      </c>
      <c r="G501" s="9" t="s">
        <v>2476</v>
      </c>
      <c r="H501" s="9" t="s">
        <v>2398</v>
      </c>
      <c r="I501" s="9" t="s">
        <v>2477</v>
      </c>
      <c r="J501" s="9" t="s">
        <v>2479</v>
      </c>
      <c r="K501" s="9" t="s">
        <v>55</v>
      </c>
      <c r="L501" s="9" t="s">
        <v>2478</v>
      </c>
      <c r="M501" s="9">
        <v>26</v>
      </c>
      <c r="N501" s="9">
        <v>9</v>
      </c>
      <c r="O501" s="9" t="s">
        <v>42</v>
      </c>
      <c r="P501" s="9" t="s">
        <v>58</v>
      </c>
      <c r="Q501" s="9">
        <v>4</v>
      </c>
      <c r="R501" s="9">
        <v>1</v>
      </c>
      <c r="S501" s="9">
        <v>3</v>
      </c>
      <c r="T501" s="9">
        <v>4</v>
      </c>
      <c r="U501" s="9">
        <v>0</v>
      </c>
      <c r="V501" s="9" t="s">
        <v>114</v>
      </c>
      <c r="W501" s="9">
        <v>0</v>
      </c>
      <c r="X501" s="9">
        <v>0</v>
      </c>
      <c r="Y501" s="9">
        <v>0</v>
      </c>
      <c r="Z501" s="9">
        <v>0</v>
      </c>
      <c r="AA501" s="9">
        <v>11</v>
      </c>
      <c r="AB501" s="9">
        <v>6</v>
      </c>
      <c r="AC501" s="9">
        <v>14</v>
      </c>
      <c r="AD501" s="9" t="s">
        <v>0</v>
      </c>
      <c r="AE501" s="9" t="s">
        <v>60</v>
      </c>
    </row>
    <row r="502" spans="1:31" ht="51" x14ac:dyDescent="0.2">
      <c r="A502" s="6" t="str">
        <f>HYPERLINK("http://www.patentics.cn/invokexml.do?sx=showpatent_cn&amp;sf=ShowPatent&amp;spn=CN101119271&amp;sx=showpatent_cn&amp;sv=174c3dbfefb475043dfd7b7271217d0e","CN101119271")</f>
        <v>CN101119271</v>
      </c>
      <c r="B502" s="7" t="s">
        <v>2480</v>
      </c>
      <c r="C502" s="7" t="s">
        <v>2481</v>
      </c>
      <c r="D502" s="7" t="s">
        <v>2482</v>
      </c>
      <c r="E502" s="7" t="s">
        <v>2483</v>
      </c>
      <c r="F502" s="7" t="s">
        <v>2484</v>
      </c>
      <c r="G502" s="7" t="s">
        <v>2485</v>
      </c>
      <c r="H502" s="7" t="s">
        <v>2486</v>
      </c>
      <c r="I502" s="7" t="s">
        <v>2486</v>
      </c>
      <c r="J502" s="7" t="s">
        <v>2487</v>
      </c>
      <c r="K502" s="7" t="s">
        <v>68</v>
      </c>
      <c r="L502" s="7" t="s">
        <v>2488</v>
      </c>
      <c r="M502" s="7">
        <v>13</v>
      </c>
      <c r="N502" s="7">
        <v>31</v>
      </c>
      <c r="O502" s="7" t="s">
        <v>42</v>
      </c>
      <c r="P502" s="7" t="s">
        <v>43</v>
      </c>
      <c r="Q502" s="7">
        <v>0</v>
      </c>
      <c r="R502" s="7">
        <v>0</v>
      </c>
      <c r="S502" s="7">
        <v>0</v>
      </c>
      <c r="T502" s="7">
        <v>0</v>
      </c>
      <c r="U502" s="7">
        <v>13</v>
      </c>
      <c r="V502" s="7" t="s">
        <v>2489</v>
      </c>
      <c r="W502" s="7">
        <v>1</v>
      </c>
      <c r="X502" s="7">
        <v>12</v>
      </c>
      <c r="Y502" s="7">
        <v>8</v>
      </c>
      <c r="Z502" s="7">
        <v>2</v>
      </c>
      <c r="AA502" s="7">
        <v>1</v>
      </c>
      <c r="AB502" s="7">
        <v>1</v>
      </c>
      <c r="AC502" s="7" t="s">
        <v>0</v>
      </c>
      <c r="AD502" s="7">
        <v>3</v>
      </c>
      <c r="AE502" s="7" t="s">
        <v>532</v>
      </c>
    </row>
    <row r="503" spans="1:31" ht="76.5" x14ac:dyDescent="0.2">
      <c r="A503" s="8" t="str">
        <f>HYPERLINK("http://www.patentics.cn/invokexml.do?sx=showpatent_cn&amp;sf=ShowPatent&amp;spn=US8965283&amp;sx=showpatent_cn&amp;sv=48264e6869c8a30b03344ae6e5135e71","US8965283")</f>
        <v>US8965283</v>
      </c>
      <c r="B503" s="9" t="s">
        <v>2490</v>
      </c>
      <c r="C503" s="9" t="s">
        <v>2491</v>
      </c>
      <c r="D503" s="9" t="s">
        <v>48</v>
      </c>
      <c r="E503" s="9" t="s">
        <v>49</v>
      </c>
      <c r="F503" s="9" t="s">
        <v>2492</v>
      </c>
      <c r="G503" s="9" t="s">
        <v>2493</v>
      </c>
      <c r="H503" s="9" t="s">
        <v>2494</v>
      </c>
      <c r="I503" s="9" t="s">
        <v>2495</v>
      </c>
      <c r="J503" s="9" t="s">
        <v>573</v>
      </c>
      <c r="K503" s="9" t="s">
        <v>89</v>
      </c>
      <c r="L503" s="9" t="s">
        <v>136</v>
      </c>
      <c r="M503" s="9">
        <v>40</v>
      </c>
      <c r="N503" s="9">
        <v>15</v>
      </c>
      <c r="O503" s="9" t="s">
        <v>57</v>
      </c>
      <c r="P503" s="9" t="s">
        <v>58</v>
      </c>
      <c r="Q503" s="9">
        <v>19</v>
      </c>
      <c r="R503" s="9">
        <v>0</v>
      </c>
      <c r="S503" s="9">
        <v>19</v>
      </c>
      <c r="T503" s="9">
        <v>10</v>
      </c>
      <c r="U503" s="9">
        <v>0</v>
      </c>
      <c r="V503" s="9" t="s">
        <v>114</v>
      </c>
      <c r="W503" s="9">
        <v>0</v>
      </c>
      <c r="X503" s="9">
        <v>0</v>
      </c>
      <c r="Y503" s="9">
        <v>0</v>
      </c>
      <c r="Z503" s="9">
        <v>0</v>
      </c>
      <c r="AA503" s="9">
        <v>11</v>
      </c>
      <c r="AB503" s="9">
        <v>6</v>
      </c>
      <c r="AC503" s="9">
        <v>14</v>
      </c>
      <c r="AD503" s="9" t="s">
        <v>0</v>
      </c>
      <c r="AE503" s="9" t="s">
        <v>60</v>
      </c>
    </row>
    <row r="504" spans="1:31" ht="38.25" x14ac:dyDescent="0.2">
      <c r="A504" s="8" t="str">
        <f>HYPERLINK("http://www.patentics.cn/invokexml.do?sx=showpatent_cn&amp;sf=ShowPatent&amp;spn=CN102474890B&amp;sx=showpatent_cn&amp;sv=244699349fe722d7ef15a9be1acca59c","CN102474890B")</f>
        <v>CN102474890B</v>
      </c>
      <c r="B504" s="9" t="s">
        <v>2496</v>
      </c>
      <c r="C504" s="9" t="s">
        <v>2497</v>
      </c>
      <c r="D504" s="9" t="s">
        <v>301</v>
      </c>
      <c r="E504" s="9" t="s">
        <v>301</v>
      </c>
      <c r="F504" s="9" t="s">
        <v>2498</v>
      </c>
      <c r="G504" s="9" t="s">
        <v>2499</v>
      </c>
      <c r="H504" s="9" t="s">
        <v>2494</v>
      </c>
      <c r="I504" s="9" t="s">
        <v>2500</v>
      </c>
      <c r="J504" s="9" t="s">
        <v>838</v>
      </c>
      <c r="K504" s="9" t="s">
        <v>55</v>
      </c>
      <c r="L504" s="9" t="s">
        <v>2501</v>
      </c>
      <c r="M504" s="9">
        <v>45</v>
      </c>
      <c r="N504" s="9">
        <v>14</v>
      </c>
      <c r="O504" s="9" t="s">
        <v>57</v>
      </c>
      <c r="P504" s="9" t="s">
        <v>58</v>
      </c>
      <c r="Q504" s="9">
        <v>3</v>
      </c>
      <c r="R504" s="9">
        <v>0</v>
      </c>
      <c r="S504" s="9">
        <v>3</v>
      </c>
      <c r="T504" s="9">
        <v>3</v>
      </c>
      <c r="U504" s="9">
        <v>0</v>
      </c>
      <c r="V504" s="9" t="s">
        <v>114</v>
      </c>
      <c r="W504" s="9">
        <v>0</v>
      </c>
      <c r="X504" s="9">
        <v>0</v>
      </c>
      <c r="Y504" s="9">
        <v>0</v>
      </c>
      <c r="Z504" s="9">
        <v>0</v>
      </c>
      <c r="AA504" s="9">
        <v>11</v>
      </c>
      <c r="AB504" s="9">
        <v>6</v>
      </c>
      <c r="AC504" s="9">
        <v>14</v>
      </c>
      <c r="AD504" s="9" t="s">
        <v>0</v>
      </c>
      <c r="AE504" s="9" t="s">
        <v>60</v>
      </c>
    </row>
    <row r="505" spans="1:31" ht="38.25" x14ac:dyDescent="0.2">
      <c r="A505" s="8" t="str">
        <f>HYPERLINK("http://www.patentics.cn/invokexml.do?sx=showpatent_cn&amp;sf=ShowPatent&amp;spn=CN102474890&amp;sx=showpatent_cn&amp;sv=cfa3c9edf7dbb848901716e3010eda9b","CN102474890")</f>
        <v>CN102474890</v>
      </c>
      <c r="B505" s="9" t="s">
        <v>2496</v>
      </c>
      <c r="C505" s="9" t="s">
        <v>2497</v>
      </c>
      <c r="D505" s="9" t="s">
        <v>301</v>
      </c>
      <c r="E505" s="9" t="s">
        <v>301</v>
      </c>
      <c r="F505" s="9" t="s">
        <v>2498</v>
      </c>
      <c r="G505" s="9" t="s">
        <v>2499</v>
      </c>
      <c r="H505" s="9" t="s">
        <v>2494</v>
      </c>
      <c r="I505" s="9" t="s">
        <v>2500</v>
      </c>
      <c r="J505" s="9" t="s">
        <v>429</v>
      </c>
      <c r="K505" s="9" t="s">
        <v>55</v>
      </c>
      <c r="L505" s="9" t="s">
        <v>2501</v>
      </c>
      <c r="M505" s="9">
        <v>46</v>
      </c>
      <c r="N505" s="9">
        <v>8</v>
      </c>
      <c r="O505" s="9" t="s">
        <v>42</v>
      </c>
      <c r="P505" s="9" t="s">
        <v>58</v>
      </c>
      <c r="Q505" s="9">
        <v>3</v>
      </c>
      <c r="R505" s="9">
        <v>0</v>
      </c>
      <c r="S505" s="9">
        <v>3</v>
      </c>
      <c r="T505" s="9">
        <v>3</v>
      </c>
      <c r="U505" s="9">
        <v>1</v>
      </c>
      <c r="V505" s="9" t="s">
        <v>1591</v>
      </c>
      <c r="W505" s="9">
        <v>0</v>
      </c>
      <c r="X505" s="9">
        <v>1</v>
      </c>
      <c r="Y505" s="9">
        <v>1</v>
      </c>
      <c r="Z505" s="9">
        <v>1</v>
      </c>
      <c r="AA505" s="9">
        <v>11</v>
      </c>
      <c r="AB505" s="9">
        <v>6</v>
      </c>
      <c r="AC505" s="9">
        <v>14</v>
      </c>
      <c r="AD505" s="9" t="s">
        <v>0</v>
      </c>
      <c r="AE505" s="9" t="s">
        <v>60</v>
      </c>
    </row>
    <row r="506" spans="1:31" ht="38.25" x14ac:dyDescent="0.2">
      <c r="A506" s="6" t="str">
        <f>HYPERLINK("http://www.patentics.cn/invokexml.do?sx=showpatent_cn&amp;sf=ShowPatent&amp;spn=CN101119585&amp;sx=showpatent_cn&amp;sv=459f4d537b52d33060a5f9efbdf602a0","CN101119585")</f>
        <v>CN101119585</v>
      </c>
      <c r="B506" s="7" t="s">
        <v>2502</v>
      </c>
      <c r="C506" s="7" t="s">
        <v>2503</v>
      </c>
      <c r="D506" s="7" t="s">
        <v>2504</v>
      </c>
      <c r="E506" s="7" t="s">
        <v>2504</v>
      </c>
      <c r="F506" s="7" t="s">
        <v>2505</v>
      </c>
      <c r="G506" s="7" t="s">
        <v>2506</v>
      </c>
      <c r="H506" s="7" t="s">
        <v>2507</v>
      </c>
      <c r="I506" s="7" t="s">
        <v>2507</v>
      </c>
      <c r="J506" s="7" t="s">
        <v>2487</v>
      </c>
      <c r="K506" s="7" t="s">
        <v>96</v>
      </c>
      <c r="L506" s="7" t="s">
        <v>1102</v>
      </c>
      <c r="M506" s="7">
        <v>20</v>
      </c>
      <c r="N506" s="7">
        <v>13</v>
      </c>
      <c r="O506" s="7" t="s">
        <v>42</v>
      </c>
      <c r="P506" s="7" t="s">
        <v>43</v>
      </c>
      <c r="Q506" s="7">
        <v>0</v>
      </c>
      <c r="R506" s="7">
        <v>0</v>
      </c>
      <c r="S506" s="7">
        <v>0</v>
      </c>
      <c r="T506" s="7">
        <v>0</v>
      </c>
      <c r="U506" s="7">
        <v>12</v>
      </c>
      <c r="V506" s="7" t="s">
        <v>2508</v>
      </c>
      <c r="W506" s="7">
        <v>2</v>
      </c>
      <c r="X506" s="7">
        <v>10</v>
      </c>
      <c r="Y506" s="7">
        <v>8</v>
      </c>
      <c r="Z506" s="7">
        <v>3</v>
      </c>
      <c r="AA506" s="7">
        <v>1</v>
      </c>
      <c r="AB506" s="7">
        <v>1</v>
      </c>
      <c r="AC506" s="7" t="s">
        <v>0</v>
      </c>
      <c r="AD506" s="7">
        <v>3</v>
      </c>
      <c r="AE506" s="7" t="s">
        <v>60</v>
      </c>
    </row>
    <row r="507" spans="1:31" ht="89.25" x14ac:dyDescent="0.2">
      <c r="A507" s="8" t="str">
        <f>HYPERLINK("http://www.patentics.cn/invokexml.do?sx=showpatent_cn&amp;sf=ShowPatent&amp;spn=US8498647&amp;sx=showpatent_cn&amp;sv=898d9c3feb61b63c312eb4ddb25b40b7","US8498647")</f>
        <v>US8498647</v>
      </c>
      <c r="B507" s="9" t="s">
        <v>2509</v>
      </c>
      <c r="C507" s="9" t="s">
        <v>2510</v>
      </c>
      <c r="D507" s="9" t="s">
        <v>48</v>
      </c>
      <c r="E507" s="9" t="s">
        <v>49</v>
      </c>
      <c r="F507" s="9" t="s">
        <v>2511</v>
      </c>
      <c r="G507" s="9" t="s">
        <v>255</v>
      </c>
      <c r="H507" s="9" t="s">
        <v>2512</v>
      </c>
      <c r="I507" s="9" t="s">
        <v>2513</v>
      </c>
      <c r="J507" s="9" t="s">
        <v>2514</v>
      </c>
      <c r="K507" s="9" t="s">
        <v>55</v>
      </c>
      <c r="L507" s="9" t="s">
        <v>2515</v>
      </c>
      <c r="M507" s="9">
        <v>47</v>
      </c>
      <c r="N507" s="9">
        <v>10</v>
      </c>
      <c r="O507" s="9" t="s">
        <v>57</v>
      </c>
      <c r="P507" s="9" t="s">
        <v>58</v>
      </c>
      <c r="Q507" s="9">
        <v>16</v>
      </c>
      <c r="R507" s="9">
        <v>3</v>
      </c>
      <c r="S507" s="9">
        <v>13</v>
      </c>
      <c r="T507" s="9">
        <v>11</v>
      </c>
      <c r="U507" s="9">
        <v>5</v>
      </c>
      <c r="V507" s="9" t="s">
        <v>2516</v>
      </c>
      <c r="W507" s="9">
        <v>2</v>
      </c>
      <c r="X507" s="9">
        <v>3</v>
      </c>
      <c r="Y507" s="9">
        <v>4</v>
      </c>
      <c r="Z507" s="9">
        <v>1</v>
      </c>
      <c r="AA507" s="9">
        <v>14</v>
      </c>
      <c r="AB507" s="9">
        <v>9</v>
      </c>
      <c r="AC507" s="9">
        <v>14</v>
      </c>
      <c r="AD507" s="9" t="s">
        <v>0</v>
      </c>
      <c r="AE507" s="9" t="s">
        <v>60</v>
      </c>
    </row>
    <row r="508" spans="1:31" ht="114.75" x14ac:dyDescent="0.2">
      <c r="A508" s="8" t="str">
        <f>HYPERLINK("http://www.patentics.cn/invokexml.do?sx=showpatent_cn&amp;sf=ShowPatent&amp;spn=US8675511&amp;sx=showpatent_cn&amp;sv=fe8dc5b4a561c0cddd982785fd40e8b1","US8675511")</f>
        <v>US8675511</v>
      </c>
      <c r="B508" s="9" t="s">
        <v>2517</v>
      </c>
      <c r="C508" s="9" t="s">
        <v>2518</v>
      </c>
      <c r="D508" s="9" t="s">
        <v>48</v>
      </c>
      <c r="E508" s="9" t="s">
        <v>49</v>
      </c>
      <c r="F508" s="9" t="s">
        <v>2519</v>
      </c>
      <c r="G508" s="9" t="s">
        <v>255</v>
      </c>
      <c r="H508" s="9" t="s">
        <v>2520</v>
      </c>
      <c r="I508" s="9" t="s">
        <v>2521</v>
      </c>
      <c r="J508" s="9" t="s">
        <v>2522</v>
      </c>
      <c r="K508" s="9" t="s">
        <v>68</v>
      </c>
      <c r="L508" s="9" t="s">
        <v>446</v>
      </c>
      <c r="M508" s="9">
        <v>50</v>
      </c>
      <c r="N508" s="9">
        <v>22</v>
      </c>
      <c r="O508" s="9" t="s">
        <v>57</v>
      </c>
      <c r="P508" s="9" t="s">
        <v>58</v>
      </c>
      <c r="Q508" s="9">
        <v>17</v>
      </c>
      <c r="R508" s="9">
        <v>5</v>
      </c>
      <c r="S508" s="9">
        <v>12</v>
      </c>
      <c r="T508" s="9">
        <v>10</v>
      </c>
      <c r="U508" s="9">
        <v>5</v>
      </c>
      <c r="V508" s="9" t="s">
        <v>2523</v>
      </c>
      <c r="W508" s="9">
        <v>0</v>
      </c>
      <c r="X508" s="9">
        <v>5</v>
      </c>
      <c r="Y508" s="9">
        <v>3</v>
      </c>
      <c r="Z508" s="9">
        <v>1</v>
      </c>
      <c r="AA508" s="9">
        <v>8</v>
      </c>
      <c r="AB508" s="9">
        <v>7</v>
      </c>
      <c r="AC508" s="9">
        <v>14</v>
      </c>
      <c r="AD508" s="9" t="s">
        <v>0</v>
      </c>
      <c r="AE508" s="9" t="s">
        <v>60</v>
      </c>
    </row>
    <row r="509" spans="1:31" ht="63.75" x14ac:dyDescent="0.2">
      <c r="A509" s="8" t="str">
        <f>HYPERLINK("http://www.patentics.cn/invokexml.do?sx=showpatent_cn&amp;sf=ShowPatent&amp;spn=CN102132597B&amp;sx=showpatent_cn&amp;sv=5b33fbdcb81db8aef0c2200be02164c5","CN102132597B")</f>
        <v>CN102132597B</v>
      </c>
      <c r="B509" s="9" t="s">
        <v>2524</v>
      </c>
      <c r="C509" s="9" t="s">
        <v>2525</v>
      </c>
      <c r="D509" s="9" t="s">
        <v>301</v>
      </c>
      <c r="E509" s="9" t="s">
        <v>301</v>
      </c>
      <c r="F509" s="9" t="s">
        <v>2526</v>
      </c>
      <c r="G509" s="9" t="s">
        <v>1900</v>
      </c>
      <c r="H509" s="9" t="s">
        <v>2512</v>
      </c>
      <c r="I509" s="9" t="s">
        <v>2527</v>
      </c>
      <c r="J509" s="9" t="s">
        <v>2528</v>
      </c>
      <c r="K509" s="9" t="s">
        <v>55</v>
      </c>
      <c r="L509" s="9" t="s">
        <v>2529</v>
      </c>
      <c r="M509" s="9">
        <v>23</v>
      </c>
      <c r="N509" s="9">
        <v>17</v>
      </c>
      <c r="O509" s="9" t="s">
        <v>57</v>
      </c>
      <c r="P509" s="9" t="s">
        <v>58</v>
      </c>
      <c r="Q509" s="9">
        <v>1</v>
      </c>
      <c r="R509" s="9">
        <v>0</v>
      </c>
      <c r="S509" s="9">
        <v>1</v>
      </c>
      <c r="T509" s="9">
        <v>1</v>
      </c>
      <c r="U509" s="9">
        <v>0</v>
      </c>
      <c r="V509" s="9" t="s">
        <v>114</v>
      </c>
      <c r="W509" s="9">
        <v>0</v>
      </c>
      <c r="X509" s="9">
        <v>0</v>
      </c>
      <c r="Y509" s="9">
        <v>0</v>
      </c>
      <c r="Z509" s="9">
        <v>0</v>
      </c>
      <c r="AA509" s="9">
        <v>14</v>
      </c>
      <c r="AB509" s="9">
        <v>9</v>
      </c>
      <c r="AC509" s="9">
        <v>14</v>
      </c>
      <c r="AD509" s="9" t="s">
        <v>0</v>
      </c>
      <c r="AE509" s="9" t="s">
        <v>60</v>
      </c>
    </row>
    <row r="510" spans="1:31" ht="38.25" x14ac:dyDescent="0.2">
      <c r="A510" s="6" t="str">
        <f>HYPERLINK("http://www.patentics.cn/invokexml.do?sx=showpatent_cn&amp;sf=ShowPatent&amp;spn=CN101090304&amp;sx=showpatent_cn&amp;sv=8a6f84f39034215a4fccc48c31071aa8","CN101090304")</f>
        <v>CN101090304</v>
      </c>
      <c r="B510" s="7" t="s">
        <v>2530</v>
      </c>
      <c r="C510" s="7" t="s">
        <v>2531</v>
      </c>
      <c r="D510" s="7" t="s">
        <v>932</v>
      </c>
      <c r="E510" s="7" t="s">
        <v>932</v>
      </c>
      <c r="F510" s="7" t="s">
        <v>2532</v>
      </c>
      <c r="G510" s="7" t="s">
        <v>2533</v>
      </c>
      <c r="H510" s="7" t="s">
        <v>2097</v>
      </c>
      <c r="I510" s="7" t="s">
        <v>2097</v>
      </c>
      <c r="J510" s="7" t="s">
        <v>2534</v>
      </c>
      <c r="K510" s="7" t="s">
        <v>68</v>
      </c>
      <c r="L510" s="7" t="s">
        <v>1668</v>
      </c>
      <c r="M510" s="7">
        <v>7</v>
      </c>
      <c r="N510" s="7">
        <v>27</v>
      </c>
      <c r="O510" s="7" t="s">
        <v>42</v>
      </c>
      <c r="P510" s="7" t="s">
        <v>43</v>
      </c>
      <c r="Q510" s="7">
        <v>0</v>
      </c>
      <c r="R510" s="7">
        <v>0</v>
      </c>
      <c r="S510" s="7">
        <v>0</v>
      </c>
      <c r="T510" s="7">
        <v>0</v>
      </c>
      <c r="U510" s="7">
        <v>26</v>
      </c>
      <c r="V510" s="7" t="s">
        <v>2535</v>
      </c>
      <c r="W510" s="7">
        <v>2</v>
      </c>
      <c r="X510" s="7">
        <v>24</v>
      </c>
      <c r="Y510" s="7">
        <v>14</v>
      </c>
      <c r="Z510" s="7">
        <v>3</v>
      </c>
      <c r="AA510" s="7">
        <v>1</v>
      </c>
      <c r="AB510" s="7">
        <v>1</v>
      </c>
      <c r="AC510" s="7" t="s">
        <v>0</v>
      </c>
      <c r="AD510" s="7">
        <v>3</v>
      </c>
      <c r="AE510" s="7" t="s">
        <v>532</v>
      </c>
    </row>
    <row r="511" spans="1:31" ht="63.75" x14ac:dyDescent="0.2">
      <c r="A511" s="8" t="str">
        <f>HYPERLINK("http://www.patentics.cn/invokexml.do?sx=showpatent_cn&amp;sf=ShowPatent&amp;spn=US9042240&amp;sx=showpatent_cn&amp;sv=2d4589492de79db2f943f76a50a521c4","US9042240")</f>
        <v>US9042240</v>
      </c>
      <c r="B511" s="9" t="s">
        <v>2536</v>
      </c>
      <c r="C511" s="9" t="s">
        <v>2537</v>
      </c>
      <c r="D511" s="9" t="s">
        <v>48</v>
      </c>
      <c r="E511" s="9" t="s">
        <v>49</v>
      </c>
      <c r="F511" s="9" t="s">
        <v>2538</v>
      </c>
      <c r="G511" s="9" t="s">
        <v>2539</v>
      </c>
      <c r="H511" s="9" t="s">
        <v>406</v>
      </c>
      <c r="I511" s="9" t="s">
        <v>2540</v>
      </c>
      <c r="J511" s="9" t="s">
        <v>1653</v>
      </c>
      <c r="K511" s="9" t="s">
        <v>68</v>
      </c>
      <c r="L511" s="9" t="s">
        <v>459</v>
      </c>
      <c r="M511" s="9">
        <v>60</v>
      </c>
      <c r="N511" s="9">
        <v>16</v>
      </c>
      <c r="O511" s="9" t="s">
        <v>57</v>
      </c>
      <c r="P511" s="9" t="s">
        <v>58</v>
      </c>
      <c r="Q511" s="9">
        <v>19</v>
      </c>
      <c r="R511" s="9">
        <v>0</v>
      </c>
      <c r="S511" s="9">
        <v>19</v>
      </c>
      <c r="T511" s="9">
        <v>11</v>
      </c>
      <c r="U511" s="9">
        <v>0</v>
      </c>
      <c r="V511" s="9" t="s">
        <v>114</v>
      </c>
      <c r="W511" s="9">
        <v>0</v>
      </c>
      <c r="X511" s="9">
        <v>0</v>
      </c>
      <c r="Y511" s="9">
        <v>0</v>
      </c>
      <c r="Z511" s="9">
        <v>0</v>
      </c>
      <c r="AA511" s="9">
        <v>12</v>
      </c>
      <c r="AB511" s="9">
        <v>7</v>
      </c>
      <c r="AC511" s="9">
        <v>14</v>
      </c>
      <c r="AD511" s="9" t="s">
        <v>0</v>
      </c>
      <c r="AE511" s="9" t="s">
        <v>60</v>
      </c>
    </row>
    <row r="512" spans="1:31" ht="25.5" x14ac:dyDescent="0.2">
      <c r="A512" s="8" t="str">
        <f>HYPERLINK("http://www.patentics.cn/invokexml.do?sx=showpatent_cn&amp;sf=ShowPatent&amp;spn=CN102474387B&amp;sx=showpatent_cn&amp;sv=a8a930042177a1e043f26209780c7b3a","CN102474387B")</f>
        <v>CN102474387B</v>
      </c>
      <c r="B512" s="9" t="s">
        <v>2541</v>
      </c>
      <c r="C512" s="9" t="s">
        <v>2542</v>
      </c>
      <c r="D512" s="9" t="s">
        <v>301</v>
      </c>
      <c r="E512" s="9" t="s">
        <v>301</v>
      </c>
      <c r="F512" s="9" t="s">
        <v>2543</v>
      </c>
      <c r="G512" s="9" t="s">
        <v>2544</v>
      </c>
      <c r="H512" s="9" t="s">
        <v>406</v>
      </c>
      <c r="I512" s="9" t="s">
        <v>1584</v>
      </c>
      <c r="J512" s="9" t="s">
        <v>2335</v>
      </c>
      <c r="K512" s="9" t="s">
        <v>68</v>
      </c>
      <c r="L512" s="9" t="s">
        <v>1668</v>
      </c>
      <c r="M512" s="9">
        <v>45</v>
      </c>
      <c r="N512" s="9">
        <v>20</v>
      </c>
      <c r="O512" s="9" t="s">
        <v>57</v>
      </c>
      <c r="P512" s="9" t="s">
        <v>58</v>
      </c>
      <c r="Q512" s="9">
        <v>4</v>
      </c>
      <c r="R512" s="9">
        <v>0</v>
      </c>
      <c r="S512" s="9">
        <v>4</v>
      </c>
      <c r="T512" s="9">
        <v>4</v>
      </c>
      <c r="U512" s="9">
        <v>0</v>
      </c>
      <c r="V512" s="9" t="s">
        <v>114</v>
      </c>
      <c r="W512" s="9">
        <v>0</v>
      </c>
      <c r="X512" s="9">
        <v>0</v>
      </c>
      <c r="Y512" s="9">
        <v>0</v>
      </c>
      <c r="Z512" s="9">
        <v>0</v>
      </c>
      <c r="AA512" s="9">
        <v>12</v>
      </c>
      <c r="AB512" s="9">
        <v>7</v>
      </c>
      <c r="AC512" s="9">
        <v>14</v>
      </c>
      <c r="AD512" s="9" t="s">
        <v>0</v>
      </c>
      <c r="AE512" s="9" t="s">
        <v>60</v>
      </c>
    </row>
    <row r="513" spans="1:31" ht="25.5" x14ac:dyDescent="0.2">
      <c r="A513" s="8" t="str">
        <f>HYPERLINK("http://www.patentics.cn/invokexml.do?sx=showpatent_cn&amp;sf=ShowPatent&amp;spn=CN102474387&amp;sx=showpatent_cn&amp;sv=f53c187f25d851e0a6615fcea5365f64","CN102474387")</f>
        <v>CN102474387</v>
      </c>
      <c r="B513" s="9" t="s">
        <v>2541</v>
      </c>
      <c r="C513" s="9" t="s">
        <v>2545</v>
      </c>
      <c r="D513" s="9" t="s">
        <v>301</v>
      </c>
      <c r="E513" s="9" t="s">
        <v>301</v>
      </c>
      <c r="F513" s="9" t="s">
        <v>2543</v>
      </c>
      <c r="G513" s="9" t="s">
        <v>2544</v>
      </c>
      <c r="H513" s="9" t="s">
        <v>406</v>
      </c>
      <c r="I513" s="9" t="s">
        <v>1584</v>
      </c>
      <c r="J513" s="9" t="s">
        <v>429</v>
      </c>
      <c r="K513" s="9" t="s">
        <v>68</v>
      </c>
      <c r="L513" s="9" t="s">
        <v>1668</v>
      </c>
      <c r="M513" s="9">
        <v>64</v>
      </c>
      <c r="N513" s="9">
        <v>9</v>
      </c>
      <c r="O513" s="9" t="s">
        <v>42</v>
      </c>
      <c r="P513" s="9" t="s">
        <v>58</v>
      </c>
      <c r="Q513" s="9">
        <v>4</v>
      </c>
      <c r="R513" s="9">
        <v>0</v>
      </c>
      <c r="S513" s="9">
        <v>4</v>
      </c>
      <c r="T513" s="9">
        <v>4</v>
      </c>
      <c r="U513" s="9">
        <v>1</v>
      </c>
      <c r="V513" s="9" t="s">
        <v>1591</v>
      </c>
      <c r="W513" s="9">
        <v>0</v>
      </c>
      <c r="X513" s="9">
        <v>1</v>
      </c>
      <c r="Y513" s="9">
        <v>1</v>
      </c>
      <c r="Z513" s="9">
        <v>1</v>
      </c>
      <c r="AA513" s="9">
        <v>12</v>
      </c>
      <c r="AB513" s="9">
        <v>7</v>
      </c>
      <c r="AC513" s="9">
        <v>14</v>
      </c>
      <c r="AD513" s="9" t="s">
        <v>0</v>
      </c>
      <c r="AE513" s="9" t="s">
        <v>60</v>
      </c>
    </row>
    <row r="514" spans="1:31" ht="38.25" x14ac:dyDescent="0.2">
      <c r="A514" s="6" t="str">
        <f>HYPERLINK("http://www.patentics.cn/invokexml.do?sx=showpatent_cn&amp;sf=ShowPatent&amp;spn=CN101087305&amp;sx=showpatent_cn&amp;sv=0b7176af90e0f9bc2833555aac174d98","CN101087305")</f>
        <v>CN101087305</v>
      </c>
      <c r="B514" s="7" t="s">
        <v>2546</v>
      </c>
      <c r="C514" s="7" t="s">
        <v>2547</v>
      </c>
      <c r="D514" s="7" t="s">
        <v>2548</v>
      </c>
      <c r="E514" s="7" t="s">
        <v>2549</v>
      </c>
      <c r="F514" s="7" t="s">
        <v>2550</v>
      </c>
      <c r="G514" s="7" t="s">
        <v>2551</v>
      </c>
      <c r="H514" s="7" t="s">
        <v>2552</v>
      </c>
      <c r="I514" s="7" t="s">
        <v>2552</v>
      </c>
      <c r="J514" s="7" t="s">
        <v>2553</v>
      </c>
      <c r="K514" s="7" t="s">
        <v>68</v>
      </c>
      <c r="L514" s="7" t="s">
        <v>2336</v>
      </c>
      <c r="M514" s="7">
        <v>1</v>
      </c>
      <c r="N514" s="7">
        <v>45</v>
      </c>
      <c r="O514" s="7" t="s">
        <v>42</v>
      </c>
      <c r="P514" s="7" t="s">
        <v>43</v>
      </c>
      <c r="Q514" s="7">
        <v>0</v>
      </c>
      <c r="R514" s="7">
        <v>0</v>
      </c>
      <c r="S514" s="7">
        <v>0</v>
      </c>
      <c r="T514" s="7">
        <v>0</v>
      </c>
      <c r="U514" s="7">
        <v>4</v>
      </c>
      <c r="V514" s="7" t="s">
        <v>2554</v>
      </c>
      <c r="W514" s="7">
        <v>0</v>
      </c>
      <c r="X514" s="7">
        <v>4</v>
      </c>
      <c r="Y514" s="7">
        <v>2</v>
      </c>
      <c r="Z514" s="7">
        <v>2</v>
      </c>
      <c r="AA514" s="7">
        <v>1</v>
      </c>
      <c r="AB514" s="7">
        <v>1</v>
      </c>
      <c r="AC514" s="7" t="s">
        <v>0</v>
      </c>
      <c r="AD514" s="7">
        <v>3</v>
      </c>
      <c r="AE514" s="7" t="s">
        <v>532</v>
      </c>
    </row>
    <row r="515" spans="1:31" ht="102" x14ac:dyDescent="0.2">
      <c r="A515" s="8" t="str">
        <f>HYPERLINK("http://www.patentics.cn/invokexml.do?sx=showpatent_cn&amp;sf=ShowPatent&amp;spn=US8996568&amp;sx=showpatent_cn&amp;sv=2504848d41fca96af414f83f7bfac261","US8996568")</f>
        <v>US8996568</v>
      </c>
      <c r="B515" s="9" t="s">
        <v>2555</v>
      </c>
      <c r="C515" s="9" t="s">
        <v>2556</v>
      </c>
      <c r="D515" s="9" t="s">
        <v>48</v>
      </c>
      <c r="E515" s="9" t="s">
        <v>49</v>
      </c>
      <c r="F515" s="9" t="s">
        <v>2557</v>
      </c>
      <c r="G515" s="9" t="s">
        <v>2558</v>
      </c>
      <c r="H515" s="9" t="s">
        <v>2559</v>
      </c>
      <c r="I515" s="9" t="s">
        <v>2560</v>
      </c>
      <c r="J515" s="9" t="s">
        <v>2561</v>
      </c>
      <c r="K515" s="9" t="s">
        <v>885</v>
      </c>
      <c r="L515" s="9" t="s">
        <v>1766</v>
      </c>
      <c r="M515" s="9">
        <v>34</v>
      </c>
      <c r="N515" s="9">
        <v>24</v>
      </c>
      <c r="O515" s="9" t="s">
        <v>57</v>
      </c>
      <c r="P515" s="9" t="s">
        <v>58</v>
      </c>
      <c r="Q515" s="9">
        <v>21</v>
      </c>
      <c r="R515" s="9">
        <v>1</v>
      </c>
      <c r="S515" s="9">
        <v>20</v>
      </c>
      <c r="T515" s="9">
        <v>14</v>
      </c>
      <c r="U515" s="9">
        <v>0</v>
      </c>
      <c r="V515" s="9" t="s">
        <v>114</v>
      </c>
      <c r="W515" s="9">
        <v>0</v>
      </c>
      <c r="X515" s="9">
        <v>0</v>
      </c>
      <c r="Y515" s="9">
        <v>0</v>
      </c>
      <c r="Z515" s="9">
        <v>0</v>
      </c>
      <c r="AA515" s="9">
        <v>8</v>
      </c>
      <c r="AB515" s="9">
        <v>7</v>
      </c>
      <c r="AC515" s="9">
        <v>14</v>
      </c>
      <c r="AD515" s="9" t="s">
        <v>0</v>
      </c>
      <c r="AE515" s="9" t="s">
        <v>60</v>
      </c>
    </row>
    <row r="516" spans="1:31" ht="51" x14ac:dyDescent="0.2">
      <c r="A516" s="8" t="str">
        <f>HYPERLINK("http://www.patentics.cn/invokexml.do?sx=showpatent_cn&amp;sf=ShowPatent&amp;spn=CN102473084B&amp;sx=showpatent_cn&amp;sv=d0c6b8a2d5f0a7dbb7a95d588ed64fdd","CN102473084B")</f>
        <v>CN102473084B</v>
      </c>
      <c r="B516" s="9" t="s">
        <v>2562</v>
      </c>
      <c r="C516" s="9" t="s">
        <v>2563</v>
      </c>
      <c r="D516" s="9" t="s">
        <v>301</v>
      </c>
      <c r="E516" s="9" t="s">
        <v>301</v>
      </c>
      <c r="F516" s="9" t="s">
        <v>2564</v>
      </c>
      <c r="G516" s="9" t="s">
        <v>2565</v>
      </c>
      <c r="H516" s="9" t="s">
        <v>2559</v>
      </c>
      <c r="I516" s="9" t="s">
        <v>2566</v>
      </c>
      <c r="J516" s="9" t="s">
        <v>1233</v>
      </c>
      <c r="K516" s="9" t="s">
        <v>885</v>
      </c>
      <c r="L516" s="9" t="s">
        <v>1766</v>
      </c>
      <c r="M516" s="9">
        <v>36</v>
      </c>
      <c r="N516" s="9">
        <v>19</v>
      </c>
      <c r="O516" s="9" t="s">
        <v>57</v>
      </c>
      <c r="P516" s="9" t="s">
        <v>58</v>
      </c>
      <c r="Q516" s="9">
        <v>1</v>
      </c>
      <c r="R516" s="9">
        <v>0</v>
      </c>
      <c r="S516" s="9">
        <v>1</v>
      </c>
      <c r="T516" s="9">
        <v>1</v>
      </c>
      <c r="U516" s="9">
        <v>0</v>
      </c>
      <c r="V516" s="9" t="s">
        <v>114</v>
      </c>
      <c r="W516" s="9">
        <v>0</v>
      </c>
      <c r="X516" s="9">
        <v>0</v>
      </c>
      <c r="Y516" s="9">
        <v>0</v>
      </c>
      <c r="Z516" s="9">
        <v>0</v>
      </c>
      <c r="AA516" s="9">
        <v>0</v>
      </c>
      <c r="AB516" s="9">
        <v>0</v>
      </c>
      <c r="AC516" s="9">
        <v>14</v>
      </c>
      <c r="AD516" s="9" t="s">
        <v>0</v>
      </c>
      <c r="AE516" s="9" t="s">
        <v>60</v>
      </c>
    </row>
    <row r="517" spans="1:31" ht="51" x14ac:dyDescent="0.2">
      <c r="A517" s="8" t="str">
        <f>HYPERLINK("http://www.patentics.cn/invokexml.do?sx=showpatent_cn&amp;sf=ShowPatent&amp;spn=CN102473084&amp;sx=showpatent_cn&amp;sv=3fc9735d00d1d546dde4b2f37dd7e26f","CN102473084")</f>
        <v>CN102473084</v>
      </c>
      <c r="B517" s="9" t="s">
        <v>2562</v>
      </c>
      <c r="C517" s="9" t="s">
        <v>2563</v>
      </c>
      <c r="D517" s="9" t="s">
        <v>301</v>
      </c>
      <c r="E517" s="9" t="s">
        <v>301</v>
      </c>
      <c r="F517" s="9" t="s">
        <v>2564</v>
      </c>
      <c r="G517" s="9" t="s">
        <v>2565</v>
      </c>
      <c r="H517" s="9" t="s">
        <v>2559</v>
      </c>
      <c r="I517" s="9" t="s">
        <v>2566</v>
      </c>
      <c r="J517" s="9" t="s">
        <v>429</v>
      </c>
      <c r="K517" s="9" t="s">
        <v>885</v>
      </c>
      <c r="L517" s="9" t="s">
        <v>1766</v>
      </c>
      <c r="M517" s="9">
        <v>27</v>
      </c>
      <c r="N517" s="9">
        <v>17</v>
      </c>
      <c r="O517" s="9" t="s">
        <v>42</v>
      </c>
      <c r="P517" s="9" t="s">
        <v>58</v>
      </c>
      <c r="Q517" s="9">
        <v>1</v>
      </c>
      <c r="R517" s="9">
        <v>0</v>
      </c>
      <c r="S517" s="9">
        <v>1</v>
      </c>
      <c r="T517" s="9">
        <v>1</v>
      </c>
      <c r="U517" s="9">
        <v>0</v>
      </c>
      <c r="V517" s="9" t="s">
        <v>114</v>
      </c>
      <c r="W517" s="9">
        <v>0</v>
      </c>
      <c r="X517" s="9">
        <v>0</v>
      </c>
      <c r="Y517" s="9">
        <v>0</v>
      </c>
      <c r="Z517" s="9">
        <v>0</v>
      </c>
      <c r="AA517" s="9">
        <v>8</v>
      </c>
      <c r="AB517" s="9">
        <v>7</v>
      </c>
      <c r="AC517" s="9">
        <v>14</v>
      </c>
      <c r="AD517" s="9" t="s">
        <v>0</v>
      </c>
      <c r="AE517" s="9" t="s">
        <v>60</v>
      </c>
    </row>
    <row r="518" spans="1:31" ht="51" x14ac:dyDescent="0.2">
      <c r="A518" s="6" t="str">
        <f>HYPERLINK("http://www.patentics.cn/invokexml.do?sx=showpatent_cn&amp;sf=ShowPatent&amp;spn=CN101060334&amp;sx=showpatent_cn&amp;sv=c0c153fcab880dad869a9da4bc53b72d","CN101060334")</f>
        <v>CN101060334</v>
      </c>
      <c r="B518" s="7" t="s">
        <v>2567</v>
      </c>
      <c r="C518" s="7" t="s">
        <v>2568</v>
      </c>
      <c r="D518" s="7" t="s">
        <v>2569</v>
      </c>
      <c r="E518" s="7" t="s">
        <v>2570</v>
      </c>
      <c r="F518" s="7" t="s">
        <v>2571</v>
      </c>
      <c r="G518" s="7" t="s">
        <v>2572</v>
      </c>
      <c r="H518" s="7" t="s">
        <v>2573</v>
      </c>
      <c r="I518" s="7" t="s">
        <v>1229</v>
      </c>
      <c r="J518" s="7" t="s">
        <v>2574</v>
      </c>
      <c r="K518" s="7" t="s">
        <v>1529</v>
      </c>
      <c r="L518" s="7" t="s">
        <v>2575</v>
      </c>
      <c r="M518" s="7">
        <v>23</v>
      </c>
      <c r="N518" s="7">
        <v>18</v>
      </c>
      <c r="O518" s="7" t="s">
        <v>42</v>
      </c>
      <c r="P518" s="7" t="s">
        <v>341</v>
      </c>
      <c r="Q518" s="7">
        <v>0</v>
      </c>
      <c r="R518" s="7">
        <v>0</v>
      </c>
      <c r="S518" s="7">
        <v>0</v>
      </c>
      <c r="T518" s="7">
        <v>0</v>
      </c>
      <c r="U518" s="7">
        <v>4</v>
      </c>
      <c r="V518" s="7" t="s">
        <v>2576</v>
      </c>
      <c r="W518" s="7">
        <v>0</v>
      </c>
      <c r="X518" s="7">
        <v>4</v>
      </c>
      <c r="Y518" s="7">
        <v>2</v>
      </c>
      <c r="Z518" s="7">
        <v>2</v>
      </c>
      <c r="AA518" s="7">
        <v>12</v>
      </c>
      <c r="AB518" s="7">
        <v>7</v>
      </c>
      <c r="AC518" s="7" t="s">
        <v>0</v>
      </c>
      <c r="AD518" s="7">
        <v>3</v>
      </c>
      <c r="AE518" s="7" t="s">
        <v>60</v>
      </c>
    </row>
    <row r="519" spans="1:31" ht="76.5" x14ac:dyDescent="0.2">
      <c r="A519" s="8" t="str">
        <f>HYPERLINK("http://www.patentics.cn/invokexml.do?sx=showpatent_cn&amp;sf=ShowPatent&amp;spn=US8872685&amp;sx=showpatent_cn&amp;sv=375894af4233382419ecb3deb4acb2c3","US8872685")</f>
        <v>US8872685</v>
      </c>
      <c r="B519" s="9" t="s">
        <v>2577</v>
      </c>
      <c r="C519" s="9" t="s">
        <v>2578</v>
      </c>
      <c r="D519" s="9" t="s">
        <v>48</v>
      </c>
      <c r="E519" s="9" t="s">
        <v>49</v>
      </c>
      <c r="F519" s="9" t="s">
        <v>2579</v>
      </c>
      <c r="G519" s="9" t="s">
        <v>2580</v>
      </c>
      <c r="H519" s="9" t="s">
        <v>820</v>
      </c>
      <c r="I519" s="9" t="s">
        <v>820</v>
      </c>
      <c r="J519" s="9" t="s">
        <v>804</v>
      </c>
      <c r="K519" s="9" t="s">
        <v>1529</v>
      </c>
      <c r="L519" s="9" t="s">
        <v>1987</v>
      </c>
      <c r="M519" s="9">
        <v>47</v>
      </c>
      <c r="N519" s="9">
        <v>16</v>
      </c>
      <c r="O519" s="9" t="s">
        <v>57</v>
      </c>
      <c r="P519" s="9" t="s">
        <v>58</v>
      </c>
      <c r="Q519" s="9">
        <v>32</v>
      </c>
      <c r="R519" s="9">
        <v>1</v>
      </c>
      <c r="S519" s="9">
        <v>31</v>
      </c>
      <c r="T519" s="9">
        <v>22</v>
      </c>
      <c r="U519" s="9">
        <v>0</v>
      </c>
      <c r="V519" s="9" t="s">
        <v>114</v>
      </c>
      <c r="W519" s="9">
        <v>0</v>
      </c>
      <c r="X519" s="9">
        <v>0</v>
      </c>
      <c r="Y519" s="9">
        <v>0</v>
      </c>
      <c r="Z519" s="9">
        <v>0</v>
      </c>
      <c r="AA519" s="9">
        <v>5</v>
      </c>
      <c r="AB519" s="9">
        <v>5</v>
      </c>
      <c r="AC519" s="9">
        <v>14</v>
      </c>
      <c r="AD519" s="9" t="s">
        <v>0</v>
      </c>
      <c r="AE519" s="9" t="s">
        <v>60</v>
      </c>
    </row>
    <row r="520" spans="1:31" ht="89.25" x14ac:dyDescent="0.2">
      <c r="A520" s="8" t="str">
        <f>HYPERLINK("http://www.patentics.cn/invokexml.do?sx=showpatent_cn&amp;sf=ShowPatent&amp;spn=CN102549929B&amp;sx=showpatent_cn&amp;sv=a3eccf1ca5510c127835b864a88d4ab3","CN102549929B")</f>
        <v>CN102549929B</v>
      </c>
      <c r="B520" s="9" t="s">
        <v>2581</v>
      </c>
      <c r="C520" s="9" t="s">
        <v>2582</v>
      </c>
      <c r="D520" s="9" t="s">
        <v>301</v>
      </c>
      <c r="E520" s="9" t="s">
        <v>301</v>
      </c>
      <c r="F520" s="9" t="s">
        <v>2583</v>
      </c>
      <c r="G520" s="9" t="s">
        <v>2584</v>
      </c>
      <c r="H520" s="9" t="s">
        <v>2585</v>
      </c>
      <c r="I520" s="9" t="s">
        <v>945</v>
      </c>
      <c r="J520" s="9" t="s">
        <v>2586</v>
      </c>
      <c r="K520" s="9" t="s">
        <v>1529</v>
      </c>
      <c r="L520" s="9" t="s">
        <v>2587</v>
      </c>
      <c r="M520" s="9">
        <v>27</v>
      </c>
      <c r="N520" s="9">
        <v>18</v>
      </c>
      <c r="O520" s="9" t="s">
        <v>57</v>
      </c>
      <c r="P520" s="9" t="s">
        <v>58</v>
      </c>
      <c r="Q520" s="9">
        <v>3</v>
      </c>
      <c r="R520" s="9">
        <v>0</v>
      </c>
      <c r="S520" s="9">
        <v>3</v>
      </c>
      <c r="T520" s="9">
        <v>3</v>
      </c>
      <c r="U520" s="9">
        <v>0</v>
      </c>
      <c r="V520" s="9" t="s">
        <v>114</v>
      </c>
      <c r="W520" s="9">
        <v>0</v>
      </c>
      <c r="X520" s="9">
        <v>0</v>
      </c>
      <c r="Y520" s="9">
        <v>0</v>
      </c>
      <c r="Z520" s="9">
        <v>0</v>
      </c>
      <c r="AA520" s="9">
        <v>9</v>
      </c>
      <c r="AB520" s="9">
        <v>6</v>
      </c>
      <c r="AC520" s="9">
        <v>14</v>
      </c>
      <c r="AD520" s="9" t="s">
        <v>0</v>
      </c>
      <c r="AE520" s="9" t="s">
        <v>60</v>
      </c>
    </row>
    <row r="521" spans="1:31" ht="89.25" x14ac:dyDescent="0.2">
      <c r="A521" s="8" t="str">
        <f>HYPERLINK("http://www.patentics.cn/invokexml.do?sx=showpatent_cn&amp;sf=ShowPatent&amp;spn=CN102549929&amp;sx=showpatent_cn&amp;sv=acb7a5b7d07bb29e967acebcafcf1cbb","CN102549929")</f>
        <v>CN102549929</v>
      </c>
      <c r="B521" s="9" t="s">
        <v>2581</v>
      </c>
      <c r="C521" s="9" t="s">
        <v>2582</v>
      </c>
      <c r="D521" s="9" t="s">
        <v>301</v>
      </c>
      <c r="E521" s="9" t="s">
        <v>301</v>
      </c>
      <c r="F521" s="9" t="s">
        <v>2583</v>
      </c>
      <c r="G521" s="9" t="s">
        <v>2584</v>
      </c>
      <c r="H521" s="9" t="s">
        <v>2585</v>
      </c>
      <c r="I521" s="9" t="s">
        <v>945</v>
      </c>
      <c r="J521" s="9" t="s">
        <v>1908</v>
      </c>
      <c r="K521" s="9" t="s">
        <v>1529</v>
      </c>
      <c r="L521" s="9" t="s">
        <v>2587</v>
      </c>
      <c r="M521" s="9">
        <v>34</v>
      </c>
      <c r="N521" s="9">
        <v>11</v>
      </c>
      <c r="O521" s="9" t="s">
        <v>42</v>
      </c>
      <c r="P521" s="9" t="s">
        <v>58</v>
      </c>
      <c r="Q521" s="9">
        <v>3</v>
      </c>
      <c r="R521" s="9">
        <v>0</v>
      </c>
      <c r="S521" s="9">
        <v>3</v>
      </c>
      <c r="T521" s="9">
        <v>3</v>
      </c>
      <c r="U521" s="9">
        <v>1</v>
      </c>
      <c r="V521" s="9" t="s">
        <v>1236</v>
      </c>
      <c r="W521" s="9">
        <v>1</v>
      </c>
      <c r="X521" s="9">
        <v>0</v>
      </c>
      <c r="Y521" s="9">
        <v>1</v>
      </c>
      <c r="Z521" s="9">
        <v>1</v>
      </c>
      <c r="AA521" s="9">
        <v>9</v>
      </c>
      <c r="AB521" s="9">
        <v>6</v>
      </c>
      <c r="AC521" s="9">
        <v>14</v>
      </c>
      <c r="AD521" s="9" t="s">
        <v>0</v>
      </c>
      <c r="AE521" s="9" t="s">
        <v>60</v>
      </c>
    </row>
    <row r="522" spans="1:31" ht="63.75" x14ac:dyDescent="0.2">
      <c r="A522" s="6" t="str">
        <f>HYPERLINK("http://www.patentics.cn/invokexml.do?sx=showpatent_cn&amp;sf=ShowPatent&amp;spn=CN101048977&amp;sx=showpatent_cn&amp;sv=83001b804cc652117a03e28888604acd","CN101048977")</f>
        <v>CN101048977</v>
      </c>
      <c r="B522" s="7" t="s">
        <v>2588</v>
      </c>
      <c r="C522" s="7" t="s">
        <v>2589</v>
      </c>
      <c r="D522" s="7" t="s">
        <v>2590</v>
      </c>
      <c r="E522" s="7" t="s">
        <v>2591</v>
      </c>
      <c r="F522" s="7" t="s">
        <v>2592</v>
      </c>
      <c r="G522" s="7" t="s">
        <v>2593</v>
      </c>
      <c r="H522" s="7" t="s">
        <v>2594</v>
      </c>
      <c r="I522" s="7" t="s">
        <v>2595</v>
      </c>
      <c r="J522" s="7" t="s">
        <v>2596</v>
      </c>
      <c r="K522" s="7" t="s">
        <v>68</v>
      </c>
      <c r="L522" s="7" t="s">
        <v>245</v>
      </c>
      <c r="M522" s="7">
        <v>23</v>
      </c>
      <c r="N522" s="7">
        <v>27</v>
      </c>
      <c r="O522" s="7" t="s">
        <v>42</v>
      </c>
      <c r="P522" s="7" t="s">
        <v>58</v>
      </c>
      <c r="Q522" s="7">
        <v>0</v>
      </c>
      <c r="R522" s="7">
        <v>0</v>
      </c>
      <c r="S522" s="7">
        <v>0</v>
      </c>
      <c r="T522" s="7">
        <v>0</v>
      </c>
      <c r="U522" s="7">
        <v>3</v>
      </c>
      <c r="V522" s="7" t="s">
        <v>632</v>
      </c>
      <c r="W522" s="7">
        <v>0</v>
      </c>
      <c r="X522" s="7">
        <v>3</v>
      </c>
      <c r="Y522" s="7">
        <v>1</v>
      </c>
      <c r="Z522" s="7">
        <v>2</v>
      </c>
      <c r="AA522" s="7">
        <v>10</v>
      </c>
      <c r="AB522" s="7">
        <v>6</v>
      </c>
      <c r="AC522" s="7" t="s">
        <v>0</v>
      </c>
      <c r="AD522" s="7">
        <v>3</v>
      </c>
      <c r="AE522" s="7" t="s">
        <v>60</v>
      </c>
    </row>
    <row r="523" spans="1:31" ht="63.75" x14ac:dyDescent="0.2">
      <c r="A523" s="8" t="str">
        <f>HYPERLINK("http://www.patentics.cn/invokexml.do?sx=showpatent_cn&amp;sf=ShowPatent&amp;spn=US8923172&amp;sx=showpatent_cn&amp;sv=3bd21a4c3c2a00eab1e0016e9692ba3e","US8923172")</f>
        <v>US8923172</v>
      </c>
      <c r="B523" s="9" t="s">
        <v>2597</v>
      </c>
      <c r="C523" s="9" t="s">
        <v>2598</v>
      </c>
      <c r="D523" s="9" t="s">
        <v>48</v>
      </c>
      <c r="E523" s="9" t="s">
        <v>49</v>
      </c>
      <c r="F523" s="9" t="s">
        <v>2599</v>
      </c>
      <c r="G523" s="9" t="s">
        <v>2493</v>
      </c>
      <c r="H523" s="9" t="s">
        <v>2600</v>
      </c>
      <c r="I523" s="9" t="s">
        <v>2313</v>
      </c>
      <c r="J523" s="9" t="s">
        <v>411</v>
      </c>
      <c r="K523" s="9" t="s">
        <v>89</v>
      </c>
      <c r="L523" s="9" t="s">
        <v>136</v>
      </c>
      <c r="M523" s="9">
        <v>38</v>
      </c>
      <c r="N523" s="9">
        <v>16</v>
      </c>
      <c r="O523" s="9" t="s">
        <v>57</v>
      </c>
      <c r="P523" s="9" t="s">
        <v>58</v>
      </c>
      <c r="Q523" s="9">
        <v>31</v>
      </c>
      <c r="R523" s="9">
        <v>4</v>
      </c>
      <c r="S523" s="9">
        <v>27</v>
      </c>
      <c r="T523" s="9">
        <v>16</v>
      </c>
      <c r="U523" s="9">
        <v>0</v>
      </c>
      <c r="V523" s="9" t="s">
        <v>114</v>
      </c>
      <c r="W523" s="9">
        <v>0</v>
      </c>
      <c r="X523" s="9">
        <v>0</v>
      </c>
      <c r="Y523" s="9">
        <v>0</v>
      </c>
      <c r="Z523" s="9">
        <v>0</v>
      </c>
      <c r="AA523" s="9">
        <v>10</v>
      </c>
      <c r="AB523" s="9">
        <v>7</v>
      </c>
      <c r="AC523" s="9">
        <v>14</v>
      </c>
      <c r="AD523" s="9" t="s">
        <v>0</v>
      </c>
      <c r="AE523" s="9" t="s">
        <v>60</v>
      </c>
    </row>
    <row r="524" spans="1:31" ht="38.25" x14ac:dyDescent="0.2">
      <c r="A524" s="8" t="str">
        <f>HYPERLINK("http://www.patentics.cn/invokexml.do?sx=showpatent_cn&amp;sf=ShowPatent&amp;spn=CN102577572B&amp;sx=showpatent_cn&amp;sv=4cd578684bf3882e972f1692bed1497b","CN102577572B")</f>
        <v>CN102577572B</v>
      </c>
      <c r="B524" s="9" t="s">
        <v>2601</v>
      </c>
      <c r="C524" s="9" t="s">
        <v>2602</v>
      </c>
      <c r="D524" s="9" t="s">
        <v>301</v>
      </c>
      <c r="E524" s="9" t="s">
        <v>301</v>
      </c>
      <c r="F524" s="9" t="s">
        <v>2603</v>
      </c>
      <c r="G524" s="9" t="s">
        <v>2499</v>
      </c>
      <c r="H524" s="9" t="s">
        <v>2600</v>
      </c>
      <c r="I524" s="9" t="s">
        <v>2199</v>
      </c>
      <c r="J524" s="9" t="s">
        <v>2428</v>
      </c>
      <c r="K524" s="9" t="s">
        <v>55</v>
      </c>
      <c r="L524" s="9" t="s">
        <v>2604</v>
      </c>
      <c r="M524" s="9">
        <v>36</v>
      </c>
      <c r="N524" s="9">
        <v>20</v>
      </c>
      <c r="O524" s="9" t="s">
        <v>57</v>
      </c>
      <c r="P524" s="9" t="s">
        <v>58</v>
      </c>
      <c r="Q524" s="9">
        <v>2</v>
      </c>
      <c r="R524" s="9">
        <v>0</v>
      </c>
      <c r="S524" s="9">
        <v>2</v>
      </c>
      <c r="T524" s="9">
        <v>2</v>
      </c>
      <c r="U524" s="9">
        <v>0</v>
      </c>
      <c r="V524" s="9" t="s">
        <v>114</v>
      </c>
      <c r="W524" s="9">
        <v>0</v>
      </c>
      <c r="X524" s="9">
        <v>0</v>
      </c>
      <c r="Y524" s="9">
        <v>0</v>
      </c>
      <c r="Z524" s="9">
        <v>0</v>
      </c>
      <c r="AA524" s="9">
        <v>10</v>
      </c>
      <c r="AB524" s="9">
        <v>7</v>
      </c>
      <c r="AC524" s="9">
        <v>14</v>
      </c>
      <c r="AD524" s="9" t="s">
        <v>0</v>
      </c>
      <c r="AE524" s="9" t="s">
        <v>60</v>
      </c>
    </row>
    <row r="525" spans="1:31" ht="38.25" x14ac:dyDescent="0.2">
      <c r="A525" s="8" t="str">
        <f>HYPERLINK("http://www.patentics.cn/invokexml.do?sx=showpatent_cn&amp;sf=ShowPatent&amp;spn=CN102577572&amp;sx=showpatent_cn&amp;sv=c6e461b7859fff1e37b3737f18a4ca9c","CN102577572")</f>
        <v>CN102577572</v>
      </c>
      <c r="B525" s="9" t="s">
        <v>2601</v>
      </c>
      <c r="C525" s="9" t="s">
        <v>2602</v>
      </c>
      <c r="D525" s="9" t="s">
        <v>301</v>
      </c>
      <c r="E525" s="9" t="s">
        <v>301</v>
      </c>
      <c r="F525" s="9" t="s">
        <v>2603</v>
      </c>
      <c r="G525" s="9" t="s">
        <v>2499</v>
      </c>
      <c r="H525" s="9" t="s">
        <v>2600</v>
      </c>
      <c r="I525" s="9" t="s">
        <v>2199</v>
      </c>
      <c r="J525" s="9" t="s">
        <v>2605</v>
      </c>
      <c r="K525" s="9" t="s">
        <v>55</v>
      </c>
      <c r="L525" s="9" t="s">
        <v>2604</v>
      </c>
      <c r="M525" s="9">
        <v>44</v>
      </c>
      <c r="N525" s="9">
        <v>8</v>
      </c>
      <c r="O525" s="9" t="s">
        <v>42</v>
      </c>
      <c r="P525" s="9" t="s">
        <v>58</v>
      </c>
      <c r="Q525" s="9">
        <v>3</v>
      </c>
      <c r="R525" s="9">
        <v>0</v>
      </c>
      <c r="S525" s="9">
        <v>3</v>
      </c>
      <c r="T525" s="9">
        <v>2</v>
      </c>
      <c r="U525" s="9">
        <v>0</v>
      </c>
      <c r="V525" s="9" t="s">
        <v>114</v>
      </c>
      <c r="W525" s="9">
        <v>0</v>
      </c>
      <c r="X525" s="9">
        <v>0</v>
      </c>
      <c r="Y525" s="9">
        <v>0</v>
      </c>
      <c r="Z525" s="9">
        <v>0</v>
      </c>
      <c r="AA525" s="9">
        <v>10</v>
      </c>
      <c r="AB525" s="9">
        <v>7</v>
      </c>
      <c r="AC525" s="9">
        <v>14</v>
      </c>
      <c r="AD525" s="9" t="s">
        <v>0</v>
      </c>
      <c r="AE525" s="9" t="s">
        <v>60</v>
      </c>
    </row>
    <row r="526" spans="1:31" ht="25.5" x14ac:dyDescent="0.2">
      <c r="A526" s="6" t="str">
        <f>HYPERLINK("http://www.patentics.cn/invokexml.do?sx=showpatent_cn&amp;sf=ShowPatent&amp;spn=CN101035139&amp;sx=showpatent_cn&amp;sv=6ba4f972c08cd3eea1e5cba86d6270b9","CN101035139")</f>
        <v>CN101035139</v>
      </c>
      <c r="B526" s="7" t="s">
        <v>2606</v>
      </c>
      <c r="C526" s="7" t="s">
        <v>2607</v>
      </c>
      <c r="D526" s="7" t="s">
        <v>1383</v>
      </c>
      <c r="E526" s="7" t="s">
        <v>1383</v>
      </c>
      <c r="F526" s="7" t="s">
        <v>2608</v>
      </c>
      <c r="G526" s="7" t="s">
        <v>2609</v>
      </c>
      <c r="H526" s="7" t="s">
        <v>2610</v>
      </c>
      <c r="I526" s="7" t="s">
        <v>2610</v>
      </c>
      <c r="J526" s="7" t="s">
        <v>2611</v>
      </c>
      <c r="K526" s="7" t="s">
        <v>68</v>
      </c>
      <c r="L526" s="7" t="s">
        <v>2436</v>
      </c>
      <c r="M526" s="7">
        <v>2</v>
      </c>
      <c r="N526" s="7">
        <v>138</v>
      </c>
      <c r="O526" s="7" t="s">
        <v>42</v>
      </c>
      <c r="P526" s="7" t="s">
        <v>43</v>
      </c>
      <c r="Q526" s="7">
        <v>0</v>
      </c>
      <c r="R526" s="7">
        <v>0</v>
      </c>
      <c r="S526" s="7">
        <v>0</v>
      </c>
      <c r="T526" s="7">
        <v>0</v>
      </c>
      <c r="U526" s="7">
        <v>15</v>
      </c>
      <c r="V526" s="7" t="s">
        <v>2612</v>
      </c>
      <c r="W526" s="7">
        <v>0</v>
      </c>
      <c r="X526" s="7">
        <v>15</v>
      </c>
      <c r="Y526" s="7">
        <v>6</v>
      </c>
      <c r="Z526" s="7">
        <v>3</v>
      </c>
      <c r="AA526" s="7">
        <v>1</v>
      </c>
      <c r="AB526" s="7">
        <v>1</v>
      </c>
      <c r="AC526" s="7" t="s">
        <v>0</v>
      </c>
      <c r="AD526" s="7">
        <v>3</v>
      </c>
      <c r="AE526" s="7" t="s">
        <v>532</v>
      </c>
    </row>
    <row r="527" spans="1:31" ht="38.25" x14ac:dyDescent="0.2">
      <c r="A527" s="8" t="str">
        <f>HYPERLINK("http://www.patentics.cn/invokexml.do?sx=showpatent_cn&amp;sf=ShowPatent&amp;spn=US8660062&amp;sx=showpatent_cn&amp;sv=27f07fdef298d194579744354bda1756","US8660062")</f>
        <v>US8660062</v>
      </c>
      <c r="B527" s="9" t="s">
        <v>2613</v>
      </c>
      <c r="C527" s="9" t="s">
        <v>2614</v>
      </c>
      <c r="D527" s="9" t="s">
        <v>48</v>
      </c>
      <c r="E527" s="9" t="s">
        <v>49</v>
      </c>
      <c r="F527" s="9" t="s">
        <v>2615</v>
      </c>
      <c r="G527" s="9" t="s">
        <v>2616</v>
      </c>
      <c r="H527" s="9" t="s">
        <v>2617</v>
      </c>
      <c r="I527" s="9" t="s">
        <v>2618</v>
      </c>
      <c r="J527" s="9" t="s">
        <v>2619</v>
      </c>
      <c r="K527" s="9" t="s">
        <v>55</v>
      </c>
      <c r="L527" s="9" t="s">
        <v>56</v>
      </c>
      <c r="M527" s="9">
        <v>36</v>
      </c>
      <c r="N527" s="9">
        <v>14</v>
      </c>
      <c r="O527" s="9" t="s">
        <v>57</v>
      </c>
      <c r="P527" s="9" t="s">
        <v>58</v>
      </c>
      <c r="Q527" s="9">
        <v>12</v>
      </c>
      <c r="R527" s="9">
        <v>1</v>
      </c>
      <c r="S527" s="9">
        <v>11</v>
      </c>
      <c r="T527" s="9">
        <v>8</v>
      </c>
      <c r="U527" s="9">
        <v>0</v>
      </c>
      <c r="V527" s="9" t="s">
        <v>114</v>
      </c>
      <c r="W527" s="9">
        <v>0</v>
      </c>
      <c r="X527" s="9">
        <v>0</v>
      </c>
      <c r="Y527" s="9">
        <v>0</v>
      </c>
      <c r="Z527" s="9">
        <v>0</v>
      </c>
      <c r="AA527" s="9">
        <v>13</v>
      </c>
      <c r="AB527" s="9">
        <v>9</v>
      </c>
      <c r="AC527" s="9">
        <v>14</v>
      </c>
      <c r="AD527" s="9" t="s">
        <v>0</v>
      </c>
      <c r="AE527" s="9" t="s">
        <v>60</v>
      </c>
    </row>
    <row r="528" spans="1:31" ht="89.25" x14ac:dyDescent="0.2">
      <c r="A528" s="8" t="str">
        <f>HYPERLINK("http://www.patentics.cn/invokexml.do?sx=showpatent_cn&amp;sf=ShowPatent&amp;spn=US8670419&amp;sx=showpatent_cn&amp;sv=326178fe5c3c83f619558bfcfb7c3524","US8670419")</f>
        <v>US8670419</v>
      </c>
      <c r="B528" s="9" t="s">
        <v>2620</v>
      </c>
      <c r="C528" s="9" t="s">
        <v>2621</v>
      </c>
      <c r="D528" s="9" t="s">
        <v>48</v>
      </c>
      <c r="E528" s="9" t="s">
        <v>49</v>
      </c>
      <c r="F528" s="9" t="s">
        <v>2622</v>
      </c>
      <c r="G528" s="9" t="s">
        <v>2616</v>
      </c>
      <c r="H528" s="9" t="s">
        <v>2617</v>
      </c>
      <c r="I528" s="9" t="s">
        <v>2623</v>
      </c>
      <c r="J528" s="9" t="s">
        <v>2624</v>
      </c>
      <c r="K528" s="9" t="s">
        <v>40</v>
      </c>
      <c r="L528" s="9" t="s">
        <v>1262</v>
      </c>
      <c r="M528" s="9">
        <v>48</v>
      </c>
      <c r="N528" s="9">
        <v>15</v>
      </c>
      <c r="O528" s="9" t="s">
        <v>57</v>
      </c>
      <c r="P528" s="9" t="s">
        <v>58</v>
      </c>
      <c r="Q528" s="9">
        <v>29</v>
      </c>
      <c r="R528" s="9">
        <v>1</v>
      </c>
      <c r="S528" s="9">
        <v>28</v>
      </c>
      <c r="T528" s="9">
        <v>13</v>
      </c>
      <c r="U528" s="9">
        <v>0</v>
      </c>
      <c r="V528" s="9" t="s">
        <v>114</v>
      </c>
      <c r="W528" s="9">
        <v>0</v>
      </c>
      <c r="X528" s="9">
        <v>0</v>
      </c>
      <c r="Y528" s="9">
        <v>0</v>
      </c>
      <c r="Z528" s="9">
        <v>0</v>
      </c>
      <c r="AA528" s="9">
        <v>16</v>
      </c>
      <c r="AB528" s="9">
        <v>9</v>
      </c>
      <c r="AC528" s="9">
        <v>14</v>
      </c>
      <c r="AD528" s="9" t="s">
        <v>0</v>
      </c>
      <c r="AE528" s="9" t="s">
        <v>60</v>
      </c>
    </row>
    <row r="529" spans="1:31" ht="38.25" x14ac:dyDescent="0.2">
      <c r="A529" s="8" t="str">
        <f>HYPERLINK("http://www.patentics.cn/invokexml.do?sx=showpatent_cn&amp;sf=ShowPatent&amp;spn=CN101933384B&amp;sx=showpatent_cn&amp;sv=7990a1712d2aee3567883dd9d78f050e","CN101933384B")</f>
        <v>CN101933384B</v>
      </c>
      <c r="B529" s="9" t="s">
        <v>2625</v>
      </c>
      <c r="C529" s="9" t="s">
        <v>2626</v>
      </c>
      <c r="D529" s="9" t="s">
        <v>301</v>
      </c>
      <c r="E529" s="9" t="s">
        <v>301</v>
      </c>
      <c r="F529" s="9" t="s">
        <v>2627</v>
      </c>
      <c r="G529" s="9" t="s">
        <v>2628</v>
      </c>
      <c r="H529" s="9" t="s">
        <v>2617</v>
      </c>
      <c r="I529" s="9" t="s">
        <v>2629</v>
      </c>
      <c r="J529" s="9" t="s">
        <v>2630</v>
      </c>
      <c r="K529" s="9" t="s">
        <v>68</v>
      </c>
      <c r="L529" s="9" t="s">
        <v>245</v>
      </c>
      <c r="M529" s="9">
        <v>16</v>
      </c>
      <c r="N529" s="9">
        <v>16</v>
      </c>
      <c r="O529" s="9" t="s">
        <v>57</v>
      </c>
      <c r="P529" s="9" t="s">
        <v>58</v>
      </c>
      <c r="Q529" s="9">
        <v>1</v>
      </c>
      <c r="R529" s="9">
        <v>0</v>
      </c>
      <c r="S529" s="9">
        <v>1</v>
      </c>
      <c r="T529" s="9">
        <v>1</v>
      </c>
      <c r="U529" s="9">
        <v>0</v>
      </c>
      <c r="V529" s="9" t="s">
        <v>114</v>
      </c>
      <c r="W529" s="9">
        <v>0</v>
      </c>
      <c r="X529" s="9">
        <v>0</v>
      </c>
      <c r="Y529" s="9">
        <v>0</v>
      </c>
      <c r="Z529" s="9">
        <v>0</v>
      </c>
      <c r="AA529" s="9">
        <v>16</v>
      </c>
      <c r="AB529" s="9">
        <v>9</v>
      </c>
      <c r="AC529" s="9">
        <v>14</v>
      </c>
      <c r="AD529" s="9" t="s">
        <v>0</v>
      </c>
      <c r="AE529" s="9" t="s">
        <v>60</v>
      </c>
    </row>
    <row r="530" spans="1:31" ht="63.75" x14ac:dyDescent="0.2">
      <c r="A530" s="6" t="str">
        <f>HYPERLINK("http://www.patentics.cn/invokexml.do?sx=showpatent_cn&amp;sf=ShowPatent&amp;spn=CN101000768&amp;sx=showpatent_cn&amp;sv=ae3b679e85cbc7f9e9070ec55e176d70","CN101000768")</f>
        <v>CN101000768</v>
      </c>
      <c r="B530" s="7" t="s">
        <v>2631</v>
      </c>
      <c r="C530" s="7" t="s">
        <v>2632</v>
      </c>
      <c r="D530" s="7" t="s">
        <v>1573</v>
      </c>
      <c r="E530" s="7" t="s">
        <v>1573</v>
      </c>
      <c r="F530" s="7" t="s">
        <v>2633</v>
      </c>
      <c r="G530" s="7" t="s">
        <v>1575</v>
      </c>
      <c r="H530" s="7" t="s">
        <v>2634</v>
      </c>
      <c r="I530" s="7" t="s">
        <v>2634</v>
      </c>
      <c r="J530" s="7" t="s">
        <v>2635</v>
      </c>
      <c r="K530" s="7" t="s">
        <v>1486</v>
      </c>
      <c r="L530" s="7" t="s">
        <v>1586</v>
      </c>
      <c r="M530" s="7">
        <v>20</v>
      </c>
      <c r="N530" s="7">
        <v>24</v>
      </c>
      <c r="O530" s="7" t="s">
        <v>42</v>
      </c>
      <c r="P530" s="7" t="s">
        <v>43</v>
      </c>
      <c r="Q530" s="7">
        <v>0</v>
      </c>
      <c r="R530" s="7">
        <v>0</v>
      </c>
      <c r="S530" s="7">
        <v>0</v>
      </c>
      <c r="T530" s="7">
        <v>0</v>
      </c>
      <c r="U530" s="7">
        <v>17</v>
      </c>
      <c r="V530" s="7" t="s">
        <v>2636</v>
      </c>
      <c r="W530" s="7">
        <v>1</v>
      </c>
      <c r="X530" s="7">
        <v>16</v>
      </c>
      <c r="Y530" s="7">
        <v>6</v>
      </c>
      <c r="Z530" s="7">
        <v>3</v>
      </c>
      <c r="AA530" s="7">
        <v>1</v>
      </c>
      <c r="AB530" s="7">
        <v>1</v>
      </c>
      <c r="AC530" s="7" t="s">
        <v>0</v>
      </c>
      <c r="AD530" s="7">
        <v>3</v>
      </c>
      <c r="AE530" s="7" t="s">
        <v>532</v>
      </c>
    </row>
    <row r="531" spans="1:31" ht="102" x14ac:dyDescent="0.2">
      <c r="A531" s="8" t="str">
        <f>HYPERLINK("http://www.patentics.cn/invokexml.do?sx=showpatent_cn&amp;sf=ShowPatent&amp;spn=US8428938&amp;sx=showpatent_cn&amp;sv=0fd72cc03db9e89780b24f62fd08dc41","US8428938")</f>
        <v>US8428938</v>
      </c>
      <c r="B531" s="9" t="s">
        <v>2637</v>
      </c>
      <c r="C531" s="9" t="s">
        <v>2638</v>
      </c>
      <c r="D531" s="9" t="s">
        <v>48</v>
      </c>
      <c r="E531" s="9" t="s">
        <v>49</v>
      </c>
      <c r="F531" s="9" t="s">
        <v>2639</v>
      </c>
      <c r="G531" s="9" t="s">
        <v>2640</v>
      </c>
      <c r="H531" s="9" t="s">
        <v>1000</v>
      </c>
      <c r="I531" s="9" t="s">
        <v>1000</v>
      </c>
      <c r="J531" s="9" t="s">
        <v>905</v>
      </c>
      <c r="K531" s="9" t="s">
        <v>1486</v>
      </c>
      <c r="L531" s="9" t="s">
        <v>2641</v>
      </c>
      <c r="M531" s="9">
        <v>34</v>
      </c>
      <c r="N531" s="9">
        <v>8</v>
      </c>
      <c r="O531" s="9" t="s">
        <v>57</v>
      </c>
      <c r="P531" s="9" t="s">
        <v>58</v>
      </c>
      <c r="Q531" s="9">
        <v>15</v>
      </c>
      <c r="R531" s="9">
        <v>2</v>
      </c>
      <c r="S531" s="9">
        <v>13</v>
      </c>
      <c r="T531" s="9">
        <v>7</v>
      </c>
      <c r="U531" s="9">
        <v>8</v>
      </c>
      <c r="V531" s="9" t="s">
        <v>1272</v>
      </c>
      <c r="W531" s="9">
        <v>2</v>
      </c>
      <c r="X531" s="9">
        <v>6</v>
      </c>
      <c r="Y531" s="9">
        <v>1</v>
      </c>
      <c r="Z531" s="9">
        <v>2</v>
      </c>
      <c r="AA531" s="9">
        <v>13</v>
      </c>
      <c r="AB531" s="9">
        <v>8</v>
      </c>
      <c r="AC531" s="9">
        <v>14</v>
      </c>
      <c r="AD531" s="9" t="s">
        <v>0</v>
      </c>
      <c r="AE531" s="9" t="s">
        <v>60</v>
      </c>
    </row>
    <row r="532" spans="1:31" ht="89.25" x14ac:dyDescent="0.2">
      <c r="A532" s="8" t="str">
        <f>HYPERLINK("http://www.patentics.cn/invokexml.do?sx=showpatent_cn&amp;sf=ShowPatent&amp;spn=CN102449690B&amp;sx=showpatent_cn&amp;sv=45aaafe34083a1af1a2033c4f05ef69d","CN102449690B")</f>
        <v>CN102449690B</v>
      </c>
      <c r="B532" s="9" t="s">
        <v>2642</v>
      </c>
      <c r="C532" s="9" t="s">
        <v>2643</v>
      </c>
      <c r="D532" s="9" t="s">
        <v>301</v>
      </c>
      <c r="E532" s="9" t="s">
        <v>301</v>
      </c>
      <c r="F532" s="9" t="s">
        <v>2644</v>
      </c>
      <c r="G532" s="9" t="s">
        <v>2645</v>
      </c>
      <c r="H532" s="9" t="s">
        <v>1000</v>
      </c>
      <c r="I532" s="9" t="s">
        <v>2646</v>
      </c>
      <c r="J532" s="9" t="s">
        <v>2647</v>
      </c>
      <c r="K532" s="9" t="s">
        <v>1486</v>
      </c>
      <c r="L532" s="9" t="s">
        <v>2648</v>
      </c>
      <c r="M532" s="9">
        <v>28</v>
      </c>
      <c r="N532" s="9">
        <v>11</v>
      </c>
      <c r="O532" s="9" t="s">
        <v>57</v>
      </c>
      <c r="P532" s="9" t="s">
        <v>58</v>
      </c>
      <c r="Q532" s="9">
        <v>3</v>
      </c>
      <c r="R532" s="9">
        <v>0</v>
      </c>
      <c r="S532" s="9">
        <v>3</v>
      </c>
      <c r="T532" s="9">
        <v>3</v>
      </c>
      <c r="U532" s="9">
        <v>6</v>
      </c>
      <c r="V532" s="9" t="s">
        <v>114</v>
      </c>
      <c r="W532" s="9">
        <v>0</v>
      </c>
      <c r="X532" s="9">
        <v>6</v>
      </c>
      <c r="Y532" s="9">
        <v>0</v>
      </c>
      <c r="Z532" s="9">
        <v>1</v>
      </c>
      <c r="AA532" s="9">
        <v>13</v>
      </c>
      <c r="AB532" s="9">
        <v>8</v>
      </c>
      <c r="AC532" s="9">
        <v>14</v>
      </c>
      <c r="AD532" s="9" t="s">
        <v>0</v>
      </c>
      <c r="AE532" s="9" t="s">
        <v>60</v>
      </c>
    </row>
    <row r="533" spans="1:31" ht="89.25" x14ac:dyDescent="0.2">
      <c r="A533" s="8" t="str">
        <f>HYPERLINK("http://www.patentics.cn/invokexml.do?sx=showpatent_cn&amp;sf=ShowPatent&amp;spn=CN102449690&amp;sx=showpatent_cn&amp;sv=0dc5f753e197b93ff0596b5334b2b2bf","CN102449690")</f>
        <v>CN102449690</v>
      </c>
      <c r="B533" s="9" t="s">
        <v>2642</v>
      </c>
      <c r="C533" s="9" t="s">
        <v>2643</v>
      </c>
      <c r="D533" s="9" t="s">
        <v>301</v>
      </c>
      <c r="E533" s="9" t="s">
        <v>301</v>
      </c>
      <c r="F533" s="9" t="s">
        <v>2649</v>
      </c>
      <c r="G533" s="9" t="s">
        <v>2645</v>
      </c>
      <c r="H533" s="9" t="s">
        <v>1000</v>
      </c>
      <c r="I533" s="9" t="s">
        <v>2646</v>
      </c>
      <c r="J533" s="9" t="s">
        <v>2650</v>
      </c>
      <c r="K533" s="9" t="s">
        <v>1486</v>
      </c>
      <c r="L533" s="9" t="s">
        <v>1487</v>
      </c>
      <c r="M533" s="9">
        <v>34</v>
      </c>
      <c r="N533" s="9">
        <v>7</v>
      </c>
      <c r="O533" s="9" t="s">
        <v>42</v>
      </c>
      <c r="P533" s="9" t="s">
        <v>58</v>
      </c>
      <c r="Q533" s="9">
        <v>4</v>
      </c>
      <c r="R533" s="9">
        <v>1</v>
      </c>
      <c r="S533" s="9">
        <v>3</v>
      </c>
      <c r="T533" s="9">
        <v>4</v>
      </c>
      <c r="U533" s="9">
        <v>6</v>
      </c>
      <c r="V533" s="9" t="s">
        <v>114</v>
      </c>
      <c r="W533" s="9">
        <v>0</v>
      </c>
      <c r="X533" s="9">
        <v>6</v>
      </c>
      <c r="Y533" s="9">
        <v>0</v>
      </c>
      <c r="Z533" s="9">
        <v>1</v>
      </c>
      <c r="AA533" s="9">
        <v>13</v>
      </c>
      <c r="AB533" s="9">
        <v>8</v>
      </c>
      <c r="AC533" s="9">
        <v>14</v>
      </c>
      <c r="AD533" s="9" t="s">
        <v>0</v>
      </c>
      <c r="AE533" s="9" t="s">
        <v>60</v>
      </c>
    </row>
    <row r="534" spans="1:31" ht="25.5" x14ac:dyDescent="0.2">
      <c r="A534" s="6" t="str">
        <f>HYPERLINK("http://www.patentics.cn/invokexml.do?sx=showpatent_cn&amp;sf=ShowPatent&amp;spn=CN1996974&amp;sx=showpatent_cn&amp;sv=2709bc697fe1ce638a556e1f7285327e","CN1996974")</f>
        <v>CN1996974</v>
      </c>
      <c r="B534" s="7" t="s">
        <v>2651</v>
      </c>
      <c r="C534" s="7" t="s">
        <v>2652</v>
      </c>
      <c r="D534" s="7" t="s">
        <v>2653</v>
      </c>
      <c r="E534" s="7" t="s">
        <v>2653</v>
      </c>
      <c r="F534" s="7" t="s">
        <v>2654</v>
      </c>
      <c r="G534" s="7" t="s">
        <v>2655</v>
      </c>
      <c r="H534" s="7" t="s">
        <v>0</v>
      </c>
      <c r="I534" s="7" t="s">
        <v>2656</v>
      </c>
      <c r="J534" s="7" t="s">
        <v>528</v>
      </c>
      <c r="K534" s="7" t="s">
        <v>68</v>
      </c>
      <c r="L534" s="7" t="s">
        <v>428</v>
      </c>
      <c r="M534" s="7">
        <v>2</v>
      </c>
      <c r="N534" s="7">
        <v>14</v>
      </c>
      <c r="O534" s="7" t="s">
        <v>42</v>
      </c>
      <c r="P534" s="7" t="s">
        <v>43</v>
      </c>
      <c r="Q534" s="7">
        <v>0</v>
      </c>
      <c r="R534" s="7">
        <v>0</v>
      </c>
      <c r="S534" s="7">
        <v>0</v>
      </c>
      <c r="T534" s="7">
        <v>0</v>
      </c>
      <c r="U534" s="7">
        <v>5</v>
      </c>
      <c r="V534" s="7" t="s">
        <v>2516</v>
      </c>
      <c r="W534" s="7">
        <v>0</v>
      </c>
      <c r="X534" s="7">
        <v>5</v>
      </c>
      <c r="Y534" s="7">
        <v>2</v>
      </c>
      <c r="Z534" s="7">
        <v>2</v>
      </c>
      <c r="AA534" s="7">
        <v>0</v>
      </c>
      <c r="AB534" s="7">
        <v>0</v>
      </c>
      <c r="AC534" s="7" t="s">
        <v>0</v>
      </c>
      <c r="AD534" s="7">
        <v>3</v>
      </c>
      <c r="AE534" s="7" t="s">
        <v>45</v>
      </c>
    </row>
    <row r="535" spans="1:31" ht="140.25" x14ac:dyDescent="0.2">
      <c r="A535" s="8" t="str">
        <f>HYPERLINK("http://www.patentics.cn/invokexml.do?sx=showpatent_cn&amp;sf=ShowPatent&amp;spn=US9172561&amp;sx=showpatent_cn&amp;sv=3b5e5173429c6bee3f35e2551a9b5bf1","US9172561")</f>
        <v>US9172561</v>
      </c>
      <c r="B535" s="9" t="s">
        <v>2657</v>
      </c>
      <c r="C535" s="9" t="s">
        <v>2658</v>
      </c>
      <c r="D535" s="9" t="s">
        <v>578</v>
      </c>
      <c r="E535" s="9" t="s">
        <v>49</v>
      </c>
      <c r="F535" s="9" t="s">
        <v>2659</v>
      </c>
      <c r="G535" s="9" t="s">
        <v>2539</v>
      </c>
      <c r="H535" s="9" t="s">
        <v>2660</v>
      </c>
      <c r="I535" s="9" t="s">
        <v>1778</v>
      </c>
      <c r="J535" s="9" t="s">
        <v>223</v>
      </c>
      <c r="K535" s="9" t="s">
        <v>68</v>
      </c>
      <c r="L535" s="9" t="s">
        <v>446</v>
      </c>
      <c r="M535" s="9">
        <v>56</v>
      </c>
      <c r="N535" s="9">
        <v>10</v>
      </c>
      <c r="O535" s="9" t="s">
        <v>57</v>
      </c>
      <c r="P535" s="9" t="s">
        <v>58</v>
      </c>
      <c r="Q535" s="9">
        <v>13</v>
      </c>
      <c r="R535" s="9">
        <v>1</v>
      </c>
      <c r="S535" s="9">
        <v>12</v>
      </c>
      <c r="T535" s="9">
        <v>11</v>
      </c>
      <c r="U535" s="9">
        <v>8</v>
      </c>
      <c r="V535" s="9" t="s">
        <v>114</v>
      </c>
      <c r="W535" s="9">
        <v>0</v>
      </c>
      <c r="X535" s="9">
        <v>8</v>
      </c>
      <c r="Y535" s="9">
        <v>0</v>
      </c>
      <c r="Z535" s="9">
        <v>1</v>
      </c>
      <c r="AA535" s="9">
        <v>11</v>
      </c>
      <c r="AB535" s="9">
        <v>7</v>
      </c>
      <c r="AC535" s="9">
        <v>14</v>
      </c>
      <c r="AD535" s="9" t="s">
        <v>0</v>
      </c>
      <c r="AE535" s="9" t="s">
        <v>60</v>
      </c>
    </row>
    <row r="536" spans="1:31" ht="63.75" x14ac:dyDescent="0.2">
      <c r="A536" s="8" t="str">
        <f>HYPERLINK("http://www.patentics.cn/invokexml.do?sx=showpatent_cn&amp;sf=ShowPatent&amp;spn=CN102474474B&amp;sx=showpatent_cn&amp;sv=d6d2972cde913f2833fa5a5b7c27a19c","CN102474474B")</f>
        <v>CN102474474B</v>
      </c>
      <c r="B536" s="9" t="s">
        <v>2661</v>
      </c>
      <c r="C536" s="9" t="s">
        <v>2662</v>
      </c>
      <c r="D536" s="9" t="s">
        <v>301</v>
      </c>
      <c r="E536" s="9" t="s">
        <v>301</v>
      </c>
      <c r="F536" s="9" t="s">
        <v>2663</v>
      </c>
      <c r="G536" s="9" t="s">
        <v>2544</v>
      </c>
      <c r="H536" s="9" t="s">
        <v>2660</v>
      </c>
      <c r="I536" s="9" t="s">
        <v>2540</v>
      </c>
      <c r="J536" s="9" t="s">
        <v>2664</v>
      </c>
      <c r="K536" s="9" t="s">
        <v>68</v>
      </c>
      <c r="L536" s="9" t="s">
        <v>428</v>
      </c>
      <c r="M536" s="9">
        <v>47</v>
      </c>
      <c r="N536" s="9">
        <v>14</v>
      </c>
      <c r="O536" s="9" t="s">
        <v>57</v>
      </c>
      <c r="P536" s="9" t="s">
        <v>58</v>
      </c>
      <c r="Q536" s="9">
        <v>8</v>
      </c>
      <c r="R536" s="9">
        <v>0</v>
      </c>
      <c r="S536" s="9">
        <v>8</v>
      </c>
      <c r="T536" s="9">
        <v>8</v>
      </c>
      <c r="U536" s="9">
        <v>8</v>
      </c>
      <c r="V536" s="9" t="s">
        <v>114</v>
      </c>
      <c r="W536" s="9">
        <v>0</v>
      </c>
      <c r="X536" s="9">
        <v>8</v>
      </c>
      <c r="Y536" s="9">
        <v>0</v>
      </c>
      <c r="Z536" s="9">
        <v>1</v>
      </c>
      <c r="AA536" s="9">
        <v>11</v>
      </c>
      <c r="AB536" s="9">
        <v>7</v>
      </c>
      <c r="AC536" s="9">
        <v>14</v>
      </c>
      <c r="AD536" s="9" t="s">
        <v>0</v>
      </c>
      <c r="AE536" s="9" t="s">
        <v>60</v>
      </c>
    </row>
    <row r="537" spans="1:31" ht="63.75" x14ac:dyDescent="0.2">
      <c r="A537" s="8" t="str">
        <f>HYPERLINK("http://www.patentics.cn/invokexml.do?sx=showpatent_cn&amp;sf=ShowPatent&amp;spn=CN102474474&amp;sx=showpatent_cn&amp;sv=9bb1824d12e5945d21fa934d4ca8b470","CN102474474")</f>
        <v>CN102474474</v>
      </c>
      <c r="B537" s="9" t="s">
        <v>2661</v>
      </c>
      <c r="C537" s="9" t="s">
        <v>2662</v>
      </c>
      <c r="D537" s="9" t="s">
        <v>301</v>
      </c>
      <c r="E537" s="9" t="s">
        <v>301</v>
      </c>
      <c r="F537" s="9" t="s">
        <v>2663</v>
      </c>
      <c r="G537" s="9" t="s">
        <v>2544</v>
      </c>
      <c r="H537" s="9" t="s">
        <v>2660</v>
      </c>
      <c r="I537" s="9" t="s">
        <v>2540</v>
      </c>
      <c r="J537" s="9" t="s">
        <v>429</v>
      </c>
      <c r="K537" s="9" t="s">
        <v>68</v>
      </c>
      <c r="L537" s="9" t="s">
        <v>428</v>
      </c>
      <c r="M537" s="9">
        <v>58</v>
      </c>
      <c r="N537" s="9">
        <v>10</v>
      </c>
      <c r="O537" s="9" t="s">
        <v>42</v>
      </c>
      <c r="P537" s="9" t="s">
        <v>58</v>
      </c>
      <c r="Q537" s="9">
        <v>8</v>
      </c>
      <c r="R537" s="9">
        <v>0</v>
      </c>
      <c r="S537" s="9">
        <v>8</v>
      </c>
      <c r="T537" s="9">
        <v>8</v>
      </c>
      <c r="U537" s="9">
        <v>9</v>
      </c>
      <c r="V537" s="9" t="s">
        <v>479</v>
      </c>
      <c r="W537" s="9">
        <v>0</v>
      </c>
      <c r="X537" s="9">
        <v>9</v>
      </c>
      <c r="Y537" s="9">
        <v>1</v>
      </c>
      <c r="Z537" s="9">
        <v>2</v>
      </c>
      <c r="AA537" s="9">
        <v>11</v>
      </c>
      <c r="AB537" s="9">
        <v>7</v>
      </c>
      <c r="AC537" s="9">
        <v>14</v>
      </c>
      <c r="AD537" s="9" t="s">
        <v>0</v>
      </c>
      <c r="AE537" s="9" t="s">
        <v>60</v>
      </c>
    </row>
    <row r="538" spans="1:31" ht="63.75" x14ac:dyDescent="0.2">
      <c r="A538" s="6" t="str">
        <f>HYPERLINK("http://www.patentics.cn/invokexml.do?sx=showpatent_cn&amp;sf=ShowPatent&amp;spn=CN1988503&amp;sx=showpatent_cn&amp;sv=09f31c68c79e9951a9db357e7fdd2ad9","CN1988503")</f>
        <v>CN1988503</v>
      </c>
      <c r="B538" s="7" t="s">
        <v>2665</v>
      </c>
      <c r="C538" s="7" t="s">
        <v>2666</v>
      </c>
      <c r="D538" s="7" t="s">
        <v>1942</v>
      </c>
      <c r="E538" s="7" t="s">
        <v>1942</v>
      </c>
      <c r="F538" s="7" t="s">
        <v>2667</v>
      </c>
      <c r="G538" s="7" t="s">
        <v>2668</v>
      </c>
      <c r="H538" s="7" t="s">
        <v>0</v>
      </c>
      <c r="I538" s="7" t="s">
        <v>2669</v>
      </c>
      <c r="J538" s="7" t="s">
        <v>2670</v>
      </c>
      <c r="K538" s="7" t="s">
        <v>68</v>
      </c>
      <c r="L538" s="7" t="s">
        <v>1946</v>
      </c>
      <c r="M538" s="7">
        <v>1</v>
      </c>
      <c r="N538" s="7">
        <v>64</v>
      </c>
      <c r="O538" s="7" t="s">
        <v>42</v>
      </c>
      <c r="P538" s="7" t="s">
        <v>43</v>
      </c>
      <c r="Q538" s="7">
        <v>0</v>
      </c>
      <c r="R538" s="7">
        <v>0</v>
      </c>
      <c r="S538" s="7">
        <v>0</v>
      </c>
      <c r="T538" s="7">
        <v>0</v>
      </c>
      <c r="U538" s="7">
        <v>10</v>
      </c>
      <c r="V538" s="7" t="s">
        <v>2671</v>
      </c>
      <c r="W538" s="7">
        <v>0</v>
      </c>
      <c r="X538" s="7">
        <v>10</v>
      </c>
      <c r="Y538" s="7">
        <v>6</v>
      </c>
      <c r="Z538" s="7">
        <v>2</v>
      </c>
      <c r="AA538" s="7">
        <v>0</v>
      </c>
      <c r="AB538" s="7">
        <v>0</v>
      </c>
      <c r="AC538" s="7" t="s">
        <v>0</v>
      </c>
      <c r="AD538" s="7">
        <v>3</v>
      </c>
      <c r="AE538" s="7" t="s">
        <v>45</v>
      </c>
    </row>
    <row r="539" spans="1:31" ht="191.25" x14ac:dyDescent="0.2">
      <c r="A539" s="8" t="str">
        <f>HYPERLINK("http://www.patentics.cn/invokexml.do?sx=showpatent_cn&amp;sf=ShowPatent&amp;spn=US9432271&amp;sx=showpatent_cn&amp;sv=837b756e59e683b9fb5bd130f83bf42a","US9432271")</f>
        <v>US9432271</v>
      </c>
      <c r="B539" s="9" t="s">
        <v>2438</v>
      </c>
      <c r="C539" s="9" t="s">
        <v>2439</v>
      </c>
      <c r="D539" s="9" t="s">
        <v>48</v>
      </c>
      <c r="E539" s="9" t="s">
        <v>49</v>
      </c>
      <c r="F539" s="9" t="s">
        <v>2440</v>
      </c>
      <c r="G539" s="9" t="s">
        <v>2441</v>
      </c>
      <c r="H539" s="9" t="s">
        <v>2442</v>
      </c>
      <c r="I539" s="9" t="s">
        <v>1035</v>
      </c>
      <c r="J539" s="9" t="s">
        <v>1682</v>
      </c>
      <c r="K539" s="9" t="s">
        <v>885</v>
      </c>
      <c r="L539" s="9" t="s">
        <v>2443</v>
      </c>
      <c r="M539" s="9">
        <v>14</v>
      </c>
      <c r="N539" s="9">
        <v>11</v>
      </c>
      <c r="O539" s="9" t="s">
        <v>57</v>
      </c>
      <c r="P539" s="9" t="s">
        <v>58</v>
      </c>
      <c r="Q539" s="9">
        <v>59</v>
      </c>
      <c r="R539" s="9">
        <v>4</v>
      </c>
      <c r="S539" s="9">
        <v>55</v>
      </c>
      <c r="T539" s="9">
        <v>41</v>
      </c>
      <c r="U539" s="9">
        <v>0</v>
      </c>
      <c r="V539" s="9" t="s">
        <v>114</v>
      </c>
      <c r="W539" s="9">
        <v>0</v>
      </c>
      <c r="X539" s="9">
        <v>0</v>
      </c>
      <c r="Y539" s="9">
        <v>0</v>
      </c>
      <c r="Z539" s="9">
        <v>0</v>
      </c>
      <c r="AA539" s="9">
        <v>34</v>
      </c>
      <c r="AB539" s="9">
        <v>7</v>
      </c>
      <c r="AC539" s="9">
        <v>14</v>
      </c>
      <c r="AD539" s="9" t="s">
        <v>0</v>
      </c>
      <c r="AE539" s="9" t="s">
        <v>60</v>
      </c>
    </row>
    <row r="540" spans="1:31" ht="153" x14ac:dyDescent="0.2">
      <c r="A540" s="8" t="str">
        <f>HYPERLINK("http://www.patentics.cn/invokexml.do?sx=showpatent_cn&amp;sf=ShowPatent&amp;spn=CN102804688B&amp;sx=showpatent_cn&amp;sv=ed4e37255edd7d84acad0df4430ec162","CN102804688B")</f>
        <v>CN102804688B</v>
      </c>
      <c r="B540" s="9" t="s">
        <v>2444</v>
      </c>
      <c r="C540" s="9" t="s">
        <v>2445</v>
      </c>
      <c r="D540" s="9" t="s">
        <v>301</v>
      </c>
      <c r="E540" s="9" t="s">
        <v>301</v>
      </c>
      <c r="F540" s="9" t="s">
        <v>2446</v>
      </c>
      <c r="G540" s="9" t="s">
        <v>2447</v>
      </c>
      <c r="H540" s="9" t="s">
        <v>2442</v>
      </c>
      <c r="I540" s="9" t="s">
        <v>374</v>
      </c>
      <c r="J540" s="9" t="s">
        <v>326</v>
      </c>
      <c r="K540" s="9" t="s">
        <v>68</v>
      </c>
      <c r="L540" s="9" t="s">
        <v>2448</v>
      </c>
      <c r="M540" s="9">
        <v>13</v>
      </c>
      <c r="N540" s="9">
        <v>10</v>
      </c>
      <c r="O540" s="9" t="s">
        <v>57</v>
      </c>
      <c r="P540" s="9" t="s">
        <v>58</v>
      </c>
      <c r="Q540" s="9">
        <v>5</v>
      </c>
      <c r="R540" s="9">
        <v>0</v>
      </c>
      <c r="S540" s="9">
        <v>5</v>
      </c>
      <c r="T540" s="9">
        <v>4</v>
      </c>
      <c r="U540" s="9">
        <v>0</v>
      </c>
      <c r="V540" s="9" t="s">
        <v>114</v>
      </c>
      <c r="W540" s="9">
        <v>0</v>
      </c>
      <c r="X540" s="9">
        <v>0</v>
      </c>
      <c r="Y540" s="9">
        <v>0</v>
      </c>
      <c r="Z540" s="9">
        <v>0</v>
      </c>
      <c r="AA540" s="9">
        <v>34</v>
      </c>
      <c r="AB540" s="9">
        <v>7</v>
      </c>
      <c r="AC540" s="9">
        <v>14</v>
      </c>
      <c r="AD540" s="9" t="s">
        <v>0</v>
      </c>
      <c r="AE540" s="9" t="s">
        <v>60</v>
      </c>
    </row>
    <row r="541" spans="1:31" ht="153" x14ac:dyDescent="0.2">
      <c r="A541" s="8" t="str">
        <f>HYPERLINK("http://www.patentics.cn/invokexml.do?sx=showpatent_cn&amp;sf=ShowPatent&amp;spn=CN102804688&amp;sx=showpatent_cn&amp;sv=1cf242f04867f6d64a0c747c5f7db7d9","CN102804688")</f>
        <v>CN102804688</v>
      </c>
      <c r="B541" s="9" t="s">
        <v>2444</v>
      </c>
      <c r="C541" s="9" t="s">
        <v>2445</v>
      </c>
      <c r="D541" s="9" t="s">
        <v>301</v>
      </c>
      <c r="E541" s="9" t="s">
        <v>301</v>
      </c>
      <c r="F541" s="9" t="s">
        <v>2446</v>
      </c>
      <c r="G541" s="9" t="s">
        <v>2447</v>
      </c>
      <c r="H541" s="9" t="s">
        <v>2442</v>
      </c>
      <c r="I541" s="9" t="s">
        <v>374</v>
      </c>
      <c r="J541" s="9" t="s">
        <v>2449</v>
      </c>
      <c r="K541" s="9" t="s">
        <v>68</v>
      </c>
      <c r="L541" s="9" t="s">
        <v>2448</v>
      </c>
      <c r="M541" s="9">
        <v>17</v>
      </c>
      <c r="N541" s="9">
        <v>6</v>
      </c>
      <c r="O541" s="9" t="s">
        <v>42</v>
      </c>
      <c r="P541" s="9" t="s">
        <v>58</v>
      </c>
      <c r="Q541" s="9">
        <v>5</v>
      </c>
      <c r="R541" s="9">
        <v>0</v>
      </c>
      <c r="S541" s="9">
        <v>5</v>
      </c>
      <c r="T541" s="9">
        <v>4</v>
      </c>
      <c r="U541" s="9">
        <v>0</v>
      </c>
      <c r="V541" s="9" t="s">
        <v>114</v>
      </c>
      <c r="W541" s="9">
        <v>0</v>
      </c>
      <c r="X541" s="9">
        <v>0</v>
      </c>
      <c r="Y541" s="9">
        <v>0</v>
      </c>
      <c r="Z541" s="9">
        <v>0</v>
      </c>
      <c r="AA541" s="9">
        <v>34</v>
      </c>
      <c r="AB541" s="9">
        <v>7</v>
      </c>
      <c r="AC541" s="9">
        <v>14</v>
      </c>
      <c r="AD541" s="9" t="s">
        <v>0</v>
      </c>
      <c r="AE541" s="9" t="s">
        <v>60</v>
      </c>
    </row>
    <row r="542" spans="1:31" ht="76.5" x14ac:dyDescent="0.2">
      <c r="A542" s="6" t="str">
        <f>HYPERLINK("http://www.patentics.cn/invokexml.do?sx=showpatent_cn&amp;sf=ShowPatent&amp;spn=CN1930788&amp;sx=showpatent_cn&amp;sv=1cd9c80576dde3574ebdeb3f1235eb25","CN1930788")</f>
        <v>CN1930788</v>
      </c>
      <c r="B542" s="7" t="s">
        <v>2672</v>
      </c>
      <c r="C542" s="7" t="s">
        <v>2673</v>
      </c>
      <c r="D542" s="7" t="s">
        <v>2674</v>
      </c>
      <c r="E542" s="7" t="s">
        <v>2675</v>
      </c>
      <c r="F542" s="7" t="s">
        <v>2676</v>
      </c>
      <c r="G542" s="7" t="s">
        <v>2677</v>
      </c>
      <c r="H542" s="7" t="s">
        <v>2678</v>
      </c>
      <c r="I542" s="7" t="s">
        <v>261</v>
      </c>
      <c r="J542" s="7" t="s">
        <v>2679</v>
      </c>
      <c r="K542" s="7" t="s">
        <v>89</v>
      </c>
      <c r="L542" s="7" t="s">
        <v>2680</v>
      </c>
      <c r="M542" s="7">
        <v>12</v>
      </c>
      <c r="N542" s="7">
        <v>69</v>
      </c>
      <c r="O542" s="7" t="s">
        <v>42</v>
      </c>
      <c r="P542" s="7" t="s">
        <v>2681</v>
      </c>
      <c r="Q542" s="7">
        <v>0</v>
      </c>
      <c r="R542" s="7">
        <v>0</v>
      </c>
      <c r="S542" s="7">
        <v>0</v>
      </c>
      <c r="T542" s="7">
        <v>0</v>
      </c>
      <c r="U542" s="7">
        <v>5</v>
      </c>
      <c r="V542" s="7" t="s">
        <v>2682</v>
      </c>
      <c r="W542" s="7">
        <v>0</v>
      </c>
      <c r="X542" s="7">
        <v>5</v>
      </c>
      <c r="Y542" s="7">
        <v>2</v>
      </c>
      <c r="Z542" s="7">
        <v>2</v>
      </c>
      <c r="AA542" s="7">
        <v>11</v>
      </c>
      <c r="AB542" s="7">
        <v>6</v>
      </c>
      <c r="AC542" s="7" t="s">
        <v>0</v>
      </c>
      <c r="AD542" s="7">
        <v>3</v>
      </c>
      <c r="AE542" s="7" t="s">
        <v>532</v>
      </c>
    </row>
    <row r="543" spans="1:31" ht="63.75" x14ac:dyDescent="0.2">
      <c r="A543" s="8" t="str">
        <f>HYPERLINK("http://www.patentics.cn/invokexml.do?sx=showpatent_cn&amp;sf=ShowPatent&amp;spn=US8817588&amp;sx=showpatent_cn&amp;sv=08ed55e325a6ece837431297ec3861f2","US8817588")</f>
        <v>US8817588</v>
      </c>
      <c r="B543" s="9" t="s">
        <v>2683</v>
      </c>
      <c r="C543" s="9" t="s">
        <v>2684</v>
      </c>
      <c r="D543" s="9" t="s">
        <v>48</v>
      </c>
      <c r="E543" s="9" t="s">
        <v>49</v>
      </c>
      <c r="F543" s="9" t="s">
        <v>2685</v>
      </c>
      <c r="G543" s="9" t="s">
        <v>2686</v>
      </c>
      <c r="H543" s="9" t="s">
        <v>2360</v>
      </c>
      <c r="I543" s="9" t="s">
        <v>2687</v>
      </c>
      <c r="J543" s="9" t="s">
        <v>2688</v>
      </c>
      <c r="K543" s="9" t="s">
        <v>40</v>
      </c>
      <c r="L543" s="9" t="s">
        <v>41</v>
      </c>
      <c r="M543" s="9">
        <v>28</v>
      </c>
      <c r="N543" s="9">
        <v>11</v>
      </c>
      <c r="O543" s="9" t="s">
        <v>57</v>
      </c>
      <c r="P543" s="9" t="s">
        <v>58</v>
      </c>
      <c r="Q543" s="9">
        <v>26</v>
      </c>
      <c r="R543" s="9">
        <v>5</v>
      </c>
      <c r="S543" s="9">
        <v>21</v>
      </c>
      <c r="T543" s="9">
        <v>14</v>
      </c>
      <c r="U543" s="9">
        <v>1</v>
      </c>
      <c r="V543" s="9" t="s">
        <v>264</v>
      </c>
      <c r="W543" s="9">
        <v>0</v>
      </c>
      <c r="X543" s="9">
        <v>1</v>
      </c>
      <c r="Y543" s="9">
        <v>1</v>
      </c>
      <c r="Z543" s="9">
        <v>1</v>
      </c>
      <c r="AA543" s="9">
        <v>10</v>
      </c>
      <c r="AB543" s="9">
        <v>7</v>
      </c>
      <c r="AC543" s="9">
        <v>14</v>
      </c>
      <c r="AD543" s="9" t="s">
        <v>0</v>
      </c>
      <c r="AE543" s="9" t="s">
        <v>60</v>
      </c>
    </row>
    <row r="544" spans="1:31" ht="25.5" x14ac:dyDescent="0.2">
      <c r="A544" s="8" t="str">
        <f>HYPERLINK("http://www.patentics.cn/invokexml.do?sx=showpatent_cn&amp;sf=ShowPatent&amp;spn=CN102668439B&amp;sx=showpatent_cn&amp;sv=642e8f70f0455b571d93c50ff383b91d","CN102668439B")</f>
        <v>CN102668439B</v>
      </c>
      <c r="B544" s="9" t="s">
        <v>2689</v>
      </c>
      <c r="C544" s="9" t="s">
        <v>2690</v>
      </c>
      <c r="D544" s="9" t="s">
        <v>301</v>
      </c>
      <c r="E544" s="9" t="s">
        <v>301</v>
      </c>
      <c r="F544" s="9" t="s">
        <v>2691</v>
      </c>
      <c r="G544" s="9" t="s">
        <v>2692</v>
      </c>
      <c r="H544" s="9" t="s">
        <v>2360</v>
      </c>
      <c r="I544" s="9" t="s">
        <v>2693</v>
      </c>
      <c r="J544" s="9" t="s">
        <v>2428</v>
      </c>
      <c r="K544" s="9" t="s">
        <v>68</v>
      </c>
      <c r="L544" s="9" t="s">
        <v>160</v>
      </c>
      <c r="M544" s="9">
        <v>36</v>
      </c>
      <c r="N544" s="9">
        <v>22</v>
      </c>
      <c r="O544" s="9" t="s">
        <v>57</v>
      </c>
      <c r="P544" s="9" t="s">
        <v>58</v>
      </c>
      <c r="Q544" s="9">
        <v>5</v>
      </c>
      <c r="R544" s="9">
        <v>1</v>
      </c>
      <c r="S544" s="9">
        <v>4</v>
      </c>
      <c r="T544" s="9">
        <v>5</v>
      </c>
      <c r="U544" s="9">
        <v>0</v>
      </c>
      <c r="V544" s="9" t="s">
        <v>114</v>
      </c>
      <c r="W544" s="9">
        <v>0</v>
      </c>
      <c r="X544" s="9">
        <v>0</v>
      </c>
      <c r="Y544" s="9">
        <v>0</v>
      </c>
      <c r="Z544" s="9">
        <v>0</v>
      </c>
      <c r="AA544" s="9">
        <v>10</v>
      </c>
      <c r="AB544" s="9">
        <v>7</v>
      </c>
      <c r="AC544" s="9">
        <v>14</v>
      </c>
      <c r="AD544" s="9" t="s">
        <v>0</v>
      </c>
      <c r="AE544" s="9" t="s">
        <v>60</v>
      </c>
    </row>
    <row r="545" spans="1:31" ht="25.5" x14ac:dyDescent="0.2">
      <c r="A545" s="8" t="str">
        <f>HYPERLINK("http://www.patentics.cn/invokexml.do?sx=showpatent_cn&amp;sf=ShowPatent&amp;spn=CN102668439&amp;sx=showpatent_cn&amp;sv=e80e04bb85ed97641fa757b10df30e14","CN102668439")</f>
        <v>CN102668439</v>
      </c>
      <c r="B545" s="9" t="s">
        <v>2689</v>
      </c>
      <c r="C545" s="9" t="s">
        <v>2690</v>
      </c>
      <c r="D545" s="9" t="s">
        <v>301</v>
      </c>
      <c r="E545" s="9" t="s">
        <v>301</v>
      </c>
      <c r="F545" s="9" t="s">
        <v>2691</v>
      </c>
      <c r="G545" s="9" t="s">
        <v>2692</v>
      </c>
      <c r="H545" s="9" t="s">
        <v>2360</v>
      </c>
      <c r="I545" s="9" t="s">
        <v>2693</v>
      </c>
      <c r="J545" s="9" t="s">
        <v>1423</v>
      </c>
      <c r="K545" s="9" t="s">
        <v>68</v>
      </c>
      <c r="L545" s="9" t="s">
        <v>160</v>
      </c>
      <c r="M545" s="9">
        <v>48</v>
      </c>
      <c r="N545" s="9">
        <v>12</v>
      </c>
      <c r="O545" s="9" t="s">
        <v>42</v>
      </c>
      <c r="P545" s="9" t="s">
        <v>58</v>
      </c>
      <c r="Q545" s="9">
        <v>5</v>
      </c>
      <c r="R545" s="9">
        <v>1</v>
      </c>
      <c r="S545" s="9">
        <v>4</v>
      </c>
      <c r="T545" s="9">
        <v>5</v>
      </c>
      <c r="U545" s="9">
        <v>0</v>
      </c>
      <c r="V545" s="9" t="s">
        <v>114</v>
      </c>
      <c r="W545" s="9">
        <v>0</v>
      </c>
      <c r="X545" s="9">
        <v>0</v>
      </c>
      <c r="Y545" s="9">
        <v>0</v>
      </c>
      <c r="Z545" s="9">
        <v>0</v>
      </c>
      <c r="AA545" s="9">
        <v>10</v>
      </c>
      <c r="AB545" s="9">
        <v>7</v>
      </c>
      <c r="AC545" s="9">
        <v>14</v>
      </c>
      <c r="AD545" s="9" t="s">
        <v>0</v>
      </c>
      <c r="AE545" s="9" t="s">
        <v>60</v>
      </c>
    </row>
    <row r="546" spans="1:31" ht="38.25" x14ac:dyDescent="0.2">
      <c r="A546" s="6" t="str">
        <f>HYPERLINK("http://www.patentics.cn/invokexml.do?sx=showpatent_cn&amp;sf=ShowPatent&amp;spn=CN1879321&amp;sx=showpatent_cn&amp;sv=c7e13fcad07f2c282dc984ebfdbbf217","CN1879321")</f>
        <v>CN1879321</v>
      </c>
      <c r="B546" s="7" t="s">
        <v>2694</v>
      </c>
      <c r="C546" s="7" t="s">
        <v>2695</v>
      </c>
      <c r="D546" s="7" t="s">
        <v>2696</v>
      </c>
      <c r="E546" s="7" t="s">
        <v>2697</v>
      </c>
      <c r="F546" s="7" t="s">
        <v>2698</v>
      </c>
      <c r="G546" s="7" t="s">
        <v>2699</v>
      </c>
      <c r="H546" s="7" t="s">
        <v>2700</v>
      </c>
      <c r="I546" s="7" t="s">
        <v>2701</v>
      </c>
      <c r="J546" s="7" t="s">
        <v>2110</v>
      </c>
      <c r="K546" s="7" t="s">
        <v>89</v>
      </c>
      <c r="L546" s="7" t="s">
        <v>2702</v>
      </c>
      <c r="M546" s="7">
        <v>25</v>
      </c>
      <c r="N546" s="7">
        <v>17</v>
      </c>
      <c r="O546" s="7" t="s">
        <v>42</v>
      </c>
      <c r="P546" s="7" t="s">
        <v>341</v>
      </c>
      <c r="Q546" s="7">
        <v>0</v>
      </c>
      <c r="R546" s="7">
        <v>0</v>
      </c>
      <c r="S546" s="7">
        <v>0</v>
      </c>
      <c r="T546" s="7">
        <v>0</v>
      </c>
      <c r="U546" s="7">
        <v>21</v>
      </c>
      <c r="V546" s="7" t="s">
        <v>2703</v>
      </c>
      <c r="W546" s="7">
        <v>3</v>
      </c>
      <c r="X546" s="7">
        <v>18</v>
      </c>
      <c r="Y546" s="7">
        <v>13</v>
      </c>
      <c r="Z546" s="7">
        <v>4</v>
      </c>
      <c r="AA546" s="7">
        <v>9</v>
      </c>
      <c r="AB546" s="7">
        <v>6</v>
      </c>
      <c r="AC546" s="7" t="s">
        <v>0</v>
      </c>
      <c r="AD546" s="7">
        <v>3</v>
      </c>
      <c r="AE546" s="7" t="s">
        <v>60</v>
      </c>
    </row>
    <row r="547" spans="1:31" ht="63.75" x14ac:dyDescent="0.2">
      <c r="A547" s="8" t="str">
        <f>HYPERLINK("http://www.patentics.cn/invokexml.do?sx=showpatent_cn&amp;sf=ShowPatent&amp;spn=US8532201&amp;sx=showpatent_cn&amp;sv=84b8243a7427c43d688706b2cb719b71","US8532201")</f>
        <v>US8532201</v>
      </c>
      <c r="B547" s="9" t="s">
        <v>2704</v>
      </c>
      <c r="C547" s="9" t="s">
        <v>2705</v>
      </c>
      <c r="D547" s="9" t="s">
        <v>48</v>
      </c>
      <c r="E547" s="9" t="s">
        <v>49</v>
      </c>
      <c r="F547" s="9" t="s">
        <v>2706</v>
      </c>
      <c r="G547" s="9" t="s">
        <v>2707</v>
      </c>
      <c r="H547" s="9" t="s">
        <v>2553</v>
      </c>
      <c r="I547" s="9" t="s">
        <v>2553</v>
      </c>
      <c r="J547" s="9" t="s">
        <v>2708</v>
      </c>
      <c r="K547" s="9" t="s">
        <v>286</v>
      </c>
      <c r="L547" s="9" t="s">
        <v>287</v>
      </c>
      <c r="M547" s="9">
        <v>40</v>
      </c>
      <c r="N547" s="9">
        <v>13</v>
      </c>
      <c r="O547" s="9" t="s">
        <v>57</v>
      </c>
      <c r="P547" s="9" t="s">
        <v>58</v>
      </c>
      <c r="Q547" s="9">
        <v>56</v>
      </c>
      <c r="R547" s="9">
        <v>9</v>
      </c>
      <c r="S547" s="9">
        <v>47</v>
      </c>
      <c r="T547" s="9">
        <v>30</v>
      </c>
      <c r="U547" s="9">
        <v>0</v>
      </c>
      <c r="V547" s="9" t="s">
        <v>114</v>
      </c>
      <c r="W547" s="9">
        <v>0</v>
      </c>
      <c r="X547" s="9">
        <v>0</v>
      </c>
      <c r="Y547" s="9">
        <v>0</v>
      </c>
      <c r="Z547" s="9">
        <v>0</v>
      </c>
      <c r="AA547" s="9">
        <v>17</v>
      </c>
      <c r="AB547" s="9">
        <v>10</v>
      </c>
      <c r="AC547" s="9">
        <v>14</v>
      </c>
      <c r="AD547" s="9" t="s">
        <v>0</v>
      </c>
      <c r="AE547" s="9" t="s">
        <v>60</v>
      </c>
    </row>
    <row r="548" spans="1:31" ht="178.5" x14ac:dyDescent="0.2">
      <c r="A548" s="8" t="str">
        <f>HYPERLINK("http://www.patentics.cn/invokexml.do?sx=showpatent_cn&amp;sf=ShowPatent&amp;spn=US8537931&amp;sx=showpatent_cn&amp;sv=b33cd3239f77b84e95d37be7fec936f6","US8537931")</f>
        <v>US8537931</v>
      </c>
      <c r="B548" s="9" t="s">
        <v>2709</v>
      </c>
      <c r="C548" s="9" t="s">
        <v>2710</v>
      </c>
      <c r="D548" s="9" t="s">
        <v>48</v>
      </c>
      <c r="E548" s="9" t="s">
        <v>49</v>
      </c>
      <c r="F548" s="9" t="s">
        <v>2711</v>
      </c>
      <c r="G548" s="9" t="s">
        <v>2707</v>
      </c>
      <c r="H548" s="9" t="s">
        <v>2712</v>
      </c>
      <c r="I548" s="9" t="s">
        <v>2712</v>
      </c>
      <c r="J548" s="9" t="s">
        <v>2713</v>
      </c>
      <c r="K548" s="9" t="s">
        <v>368</v>
      </c>
      <c r="L548" s="9" t="s">
        <v>369</v>
      </c>
      <c r="M548" s="9">
        <v>45</v>
      </c>
      <c r="N548" s="9">
        <v>12</v>
      </c>
      <c r="O548" s="9" t="s">
        <v>57</v>
      </c>
      <c r="P548" s="9" t="s">
        <v>58</v>
      </c>
      <c r="Q548" s="9">
        <v>56</v>
      </c>
      <c r="R548" s="9">
        <v>9</v>
      </c>
      <c r="S548" s="9">
        <v>47</v>
      </c>
      <c r="T548" s="9">
        <v>30</v>
      </c>
      <c r="U548" s="9">
        <v>1</v>
      </c>
      <c r="V548" s="9" t="s">
        <v>142</v>
      </c>
      <c r="W548" s="9">
        <v>0</v>
      </c>
      <c r="X548" s="9">
        <v>1</v>
      </c>
      <c r="Y548" s="9">
        <v>1</v>
      </c>
      <c r="Z548" s="9">
        <v>1</v>
      </c>
      <c r="AA548" s="9">
        <v>15</v>
      </c>
      <c r="AB548" s="9">
        <v>9</v>
      </c>
      <c r="AC548" s="9">
        <v>14</v>
      </c>
      <c r="AD548" s="9" t="s">
        <v>0</v>
      </c>
      <c r="AE548" s="9" t="s">
        <v>60</v>
      </c>
    </row>
    <row r="549" spans="1:31" ht="63.75" x14ac:dyDescent="0.2">
      <c r="A549" s="8" t="str">
        <f>HYPERLINK("http://www.patentics.cn/invokexml.do?sx=showpatent_cn&amp;sf=ShowPatent&amp;spn=CN101911628B&amp;sx=showpatent_cn&amp;sv=8f0939d403776bbabb36c4d5f4171976","CN101911628B")</f>
        <v>CN101911628B</v>
      </c>
      <c r="B549" s="9" t="s">
        <v>2714</v>
      </c>
      <c r="C549" s="9" t="s">
        <v>2715</v>
      </c>
      <c r="D549" s="9" t="s">
        <v>301</v>
      </c>
      <c r="E549" s="9" t="s">
        <v>301</v>
      </c>
      <c r="F549" s="9" t="s">
        <v>2716</v>
      </c>
      <c r="G549" s="9" t="s">
        <v>2717</v>
      </c>
      <c r="H549" s="9" t="s">
        <v>2712</v>
      </c>
      <c r="I549" s="9" t="s">
        <v>2718</v>
      </c>
      <c r="J549" s="9" t="s">
        <v>2719</v>
      </c>
      <c r="K549" s="9" t="s">
        <v>68</v>
      </c>
      <c r="L549" s="9" t="s">
        <v>281</v>
      </c>
      <c r="M549" s="9">
        <v>36</v>
      </c>
      <c r="N549" s="9">
        <v>10</v>
      </c>
      <c r="O549" s="9" t="s">
        <v>57</v>
      </c>
      <c r="P549" s="9" t="s">
        <v>58</v>
      </c>
      <c r="Q549" s="9">
        <v>1</v>
      </c>
      <c r="R549" s="9">
        <v>0</v>
      </c>
      <c r="S549" s="9">
        <v>1</v>
      </c>
      <c r="T549" s="9">
        <v>1</v>
      </c>
      <c r="U549" s="9">
        <v>0</v>
      </c>
      <c r="V549" s="9" t="s">
        <v>114</v>
      </c>
      <c r="W549" s="9">
        <v>0</v>
      </c>
      <c r="X549" s="9">
        <v>0</v>
      </c>
      <c r="Y549" s="9">
        <v>0</v>
      </c>
      <c r="Z549" s="9">
        <v>0</v>
      </c>
      <c r="AA549" s="9">
        <v>15</v>
      </c>
      <c r="AB549" s="9">
        <v>9</v>
      </c>
      <c r="AC549" s="9">
        <v>14</v>
      </c>
      <c r="AD549" s="9" t="s">
        <v>0</v>
      </c>
      <c r="AE549" s="9" t="s">
        <v>60</v>
      </c>
    </row>
    <row r="550" spans="1:31" ht="25.5" x14ac:dyDescent="0.2">
      <c r="A550" s="6" t="str">
        <f>HYPERLINK("http://www.patentics.cn/invokexml.do?sx=showpatent_cn&amp;sf=ShowPatent&amp;spn=CN1829385&amp;sx=showpatent_cn&amp;sv=8ff75083c1448429753252958caa3b41","CN1829385")</f>
        <v>CN1829385</v>
      </c>
      <c r="B550" s="7" t="s">
        <v>2720</v>
      </c>
      <c r="C550" s="7" t="s">
        <v>2721</v>
      </c>
      <c r="D550" s="7" t="s">
        <v>35</v>
      </c>
      <c r="E550" s="7" t="s">
        <v>35</v>
      </c>
      <c r="F550" s="7" t="s">
        <v>2722</v>
      </c>
      <c r="G550" s="7" t="s">
        <v>2723</v>
      </c>
      <c r="H550" s="7" t="s">
        <v>637</v>
      </c>
      <c r="I550" s="7" t="s">
        <v>637</v>
      </c>
      <c r="J550" s="7" t="s">
        <v>1378</v>
      </c>
      <c r="K550" s="7" t="s">
        <v>96</v>
      </c>
      <c r="L550" s="7" t="s">
        <v>1102</v>
      </c>
      <c r="M550" s="7">
        <v>4</v>
      </c>
      <c r="N550" s="7">
        <v>50</v>
      </c>
      <c r="O550" s="7" t="s">
        <v>42</v>
      </c>
      <c r="P550" s="7" t="s">
        <v>43</v>
      </c>
      <c r="Q550" s="7">
        <v>0</v>
      </c>
      <c r="R550" s="7">
        <v>0</v>
      </c>
      <c r="S550" s="7">
        <v>0</v>
      </c>
      <c r="T550" s="7">
        <v>0</v>
      </c>
      <c r="U550" s="7">
        <v>22</v>
      </c>
      <c r="V550" s="7" t="s">
        <v>2724</v>
      </c>
      <c r="W550" s="7">
        <v>0</v>
      </c>
      <c r="X550" s="7">
        <v>22</v>
      </c>
      <c r="Y550" s="7">
        <v>11</v>
      </c>
      <c r="Z550" s="7">
        <v>3</v>
      </c>
      <c r="AA550" s="7">
        <v>1</v>
      </c>
      <c r="AB550" s="7">
        <v>1</v>
      </c>
      <c r="AC550" s="7" t="s">
        <v>0</v>
      </c>
      <c r="AD550" s="7">
        <v>3</v>
      </c>
      <c r="AE550" s="7" t="s">
        <v>532</v>
      </c>
    </row>
    <row r="551" spans="1:31" ht="127.5" x14ac:dyDescent="0.2">
      <c r="A551" s="8" t="str">
        <f>HYPERLINK("http://www.patentics.cn/invokexml.do?sx=showpatent_cn&amp;sf=ShowPatent&amp;spn=US8494513&amp;sx=showpatent_cn&amp;sv=79c1a1ace14cc10acf88a460390b9567","US8494513")</f>
        <v>US8494513</v>
      </c>
      <c r="B551" s="9" t="s">
        <v>2345</v>
      </c>
      <c r="C551" s="9" t="s">
        <v>2346</v>
      </c>
      <c r="D551" s="9" t="s">
        <v>48</v>
      </c>
      <c r="E551" s="9" t="s">
        <v>49</v>
      </c>
      <c r="F551" s="9" t="s">
        <v>2347</v>
      </c>
      <c r="G551" s="9" t="s">
        <v>2348</v>
      </c>
      <c r="H551" s="9" t="s">
        <v>2349</v>
      </c>
      <c r="I551" s="9" t="s">
        <v>2350</v>
      </c>
      <c r="J551" s="9" t="s">
        <v>2351</v>
      </c>
      <c r="K551" s="9" t="s">
        <v>55</v>
      </c>
      <c r="L551" s="9" t="s">
        <v>947</v>
      </c>
      <c r="M551" s="9">
        <v>15</v>
      </c>
      <c r="N551" s="9">
        <v>14</v>
      </c>
      <c r="O551" s="9" t="s">
        <v>57</v>
      </c>
      <c r="P551" s="9" t="s">
        <v>58</v>
      </c>
      <c r="Q551" s="9">
        <v>21</v>
      </c>
      <c r="R551" s="9">
        <v>2</v>
      </c>
      <c r="S551" s="9">
        <v>19</v>
      </c>
      <c r="T551" s="9">
        <v>15</v>
      </c>
      <c r="U551" s="9">
        <v>1</v>
      </c>
      <c r="V551" s="9" t="s">
        <v>82</v>
      </c>
      <c r="W551" s="9">
        <v>1</v>
      </c>
      <c r="X551" s="9">
        <v>0</v>
      </c>
      <c r="Y551" s="9">
        <v>1</v>
      </c>
      <c r="Z551" s="9">
        <v>1</v>
      </c>
      <c r="AA551" s="9">
        <v>16</v>
      </c>
      <c r="AB551" s="9">
        <v>7</v>
      </c>
      <c r="AC551" s="9">
        <v>14</v>
      </c>
      <c r="AD551" s="9" t="s">
        <v>0</v>
      </c>
      <c r="AE551" s="9" t="s">
        <v>60</v>
      </c>
    </row>
    <row r="552" spans="1:31" ht="127.5" x14ac:dyDescent="0.2">
      <c r="A552" s="8" t="str">
        <f>HYPERLINK("http://www.patentics.cn/invokexml.do?sx=showpatent_cn&amp;sf=ShowPatent&amp;spn=US8948744&amp;sx=showpatent_cn&amp;sv=7a5a023544565fcea4b39c422daa7419","US8948744")</f>
        <v>US8948744</v>
      </c>
      <c r="B552" s="9" t="s">
        <v>2352</v>
      </c>
      <c r="C552" s="9" t="s">
        <v>2346</v>
      </c>
      <c r="D552" s="9" t="s">
        <v>48</v>
      </c>
      <c r="E552" s="9" t="s">
        <v>49</v>
      </c>
      <c r="F552" s="9" t="s">
        <v>2353</v>
      </c>
      <c r="G552" s="9" t="s">
        <v>2348</v>
      </c>
      <c r="H552" s="9" t="s">
        <v>2349</v>
      </c>
      <c r="I552" s="9" t="s">
        <v>2354</v>
      </c>
      <c r="J552" s="9" t="s">
        <v>2355</v>
      </c>
      <c r="K552" s="9" t="s">
        <v>55</v>
      </c>
      <c r="L552" s="9" t="s">
        <v>947</v>
      </c>
      <c r="M552" s="9">
        <v>25</v>
      </c>
      <c r="N552" s="9">
        <v>13</v>
      </c>
      <c r="O552" s="9" t="s">
        <v>57</v>
      </c>
      <c r="P552" s="9" t="s">
        <v>58</v>
      </c>
      <c r="Q552" s="9">
        <v>36</v>
      </c>
      <c r="R552" s="9">
        <v>5</v>
      </c>
      <c r="S552" s="9">
        <v>31</v>
      </c>
      <c r="T552" s="9">
        <v>22</v>
      </c>
      <c r="U552" s="9">
        <v>0</v>
      </c>
      <c r="V552" s="9" t="s">
        <v>114</v>
      </c>
      <c r="W552" s="9">
        <v>0</v>
      </c>
      <c r="X552" s="9">
        <v>0</v>
      </c>
      <c r="Y552" s="9">
        <v>0</v>
      </c>
      <c r="Z552" s="9">
        <v>0</v>
      </c>
      <c r="AA552" s="9">
        <v>16</v>
      </c>
      <c r="AB552" s="9">
        <v>7</v>
      </c>
      <c r="AC552" s="9">
        <v>14</v>
      </c>
      <c r="AD552" s="9" t="s">
        <v>0</v>
      </c>
      <c r="AE552" s="9" t="s">
        <v>60</v>
      </c>
    </row>
    <row r="553" spans="1:31" ht="51" x14ac:dyDescent="0.2">
      <c r="A553" s="8" t="str">
        <f>HYPERLINK("http://www.patentics.cn/invokexml.do?sx=showpatent_cn&amp;sf=ShowPatent&amp;spn=CN102197668B&amp;sx=showpatent_cn&amp;sv=ace906c91f8bda593ca9bcefeb430ec9","CN102197668B")</f>
        <v>CN102197668B</v>
      </c>
      <c r="B553" s="9" t="s">
        <v>2356</v>
      </c>
      <c r="C553" s="9" t="s">
        <v>2357</v>
      </c>
      <c r="D553" s="9" t="s">
        <v>301</v>
      </c>
      <c r="E553" s="9" t="s">
        <v>301</v>
      </c>
      <c r="F553" s="9" t="s">
        <v>2358</v>
      </c>
      <c r="G553" s="9" t="s">
        <v>2359</v>
      </c>
      <c r="H553" s="9" t="s">
        <v>2349</v>
      </c>
      <c r="I553" s="9" t="s">
        <v>2360</v>
      </c>
      <c r="J553" s="9" t="s">
        <v>2361</v>
      </c>
      <c r="K553" s="9" t="s">
        <v>55</v>
      </c>
      <c r="L553" s="9" t="s">
        <v>2362</v>
      </c>
      <c r="M553" s="9">
        <v>29</v>
      </c>
      <c r="N553" s="9">
        <v>13</v>
      </c>
      <c r="O553" s="9" t="s">
        <v>57</v>
      </c>
      <c r="P553" s="9" t="s">
        <v>58</v>
      </c>
      <c r="Q553" s="9">
        <v>2</v>
      </c>
      <c r="R553" s="9">
        <v>0</v>
      </c>
      <c r="S553" s="9">
        <v>2</v>
      </c>
      <c r="T553" s="9">
        <v>2</v>
      </c>
      <c r="U553" s="9">
        <v>0</v>
      </c>
      <c r="V553" s="9" t="s">
        <v>114</v>
      </c>
      <c r="W553" s="9">
        <v>0</v>
      </c>
      <c r="X553" s="9">
        <v>0</v>
      </c>
      <c r="Y553" s="9">
        <v>0</v>
      </c>
      <c r="Z553" s="9">
        <v>0</v>
      </c>
      <c r="AA553" s="9">
        <v>16</v>
      </c>
      <c r="AB553" s="9">
        <v>7</v>
      </c>
      <c r="AC553" s="9">
        <v>14</v>
      </c>
      <c r="AD553" s="9" t="s">
        <v>0</v>
      </c>
      <c r="AE553" s="9" t="s">
        <v>60</v>
      </c>
    </row>
    <row r="554" spans="1:31" ht="25.5" x14ac:dyDescent="0.2">
      <c r="A554" s="6" t="str">
        <f>HYPERLINK("http://www.patentics.cn/invokexml.do?sx=showpatent_cn&amp;sf=ShowPatent&amp;spn=CN1819484&amp;sx=showpatent_cn&amp;sv=cdb2306d4839f84b46ee596068da2a6a","CN1819484")</f>
        <v>CN1819484</v>
      </c>
      <c r="B554" s="7" t="s">
        <v>2725</v>
      </c>
      <c r="C554" s="7" t="s">
        <v>2726</v>
      </c>
      <c r="D554" s="7" t="s">
        <v>1097</v>
      </c>
      <c r="E554" s="7" t="s">
        <v>1097</v>
      </c>
      <c r="F554" s="7" t="s">
        <v>2727</v>
      </c>
      <c r="G554" s="7" t="s">
        <v>2728</v>
      </c>
      <c r="H554" s="7" t="s">
        <v>2729</v>
      </c>
      <c r="I554" s="7" t="s">
        <v>2729</v>
      </c>
      <c r="J554" s="7" t="s">
        <v>2730</v>
      </c>
      <c r="K554" s="7" t="s">
        <v>89</v>
      </c>
      <c r="L554" s="7" t="s">
        <v>1811</v>
      </c>
      <c r="M554" s="7">
        <v>9</v>
      </c>
      <c r="N554" s="7">
        <v>47</v>
      </c>
      <c r="O554" s="7" t="s">
        <v>42</v>
      </c>
      <c r="P554" s="7" t="s">
        <v>43</v>
      </c>
      <c r="Q554" s="7">
        <v>0</v>
      </c>
      <c r="R554" s="7">
        <v>0</v>
      </c>
      <c r="S554" s="7">
        <v>0</v>
      </c>
      <c r="T554" s="7">
        <v>0</v>
      </c>
      <c r="U554" s="7">
        <v>4</v>
      </c>
      <c r="V554" s="7" t="s">
        <v>2731</v>
      </c>
      <c r="W554" s="7">
        <v>0</v>
      </c>
      <c r="X554" s="7">
        <v>4</v>
      </c>
      <c r="Y554" s="7">
        <v>2</v>
      </c>
      <c r="Z554" s="7">
        <v>2</v>
      </c>
      <c r="AA554" s="7">
        <v>1</v>
      </c>
      <c r="AB554" s="7">
        <v>1</v>
      </c>
      <c r="AC554" s="7" t="s">
        <v>0</v>
      </c>
      <c r="AD554" s="7">
        <v>3</v>
      </c>
      <c r="AE554" s="7" t="s">
        <v>532</v>
      </c>
    </row>
    <row r="555" spans="1:31" ht="89.25" x14ac:dyDescent="0.2">
      <c r="A555" s="8" t="str">
        <f>HYPERLINK("http://www.patentics.cn/invokexml.do?sx=showpatent_cn&amp;sf=ShowPatent&amp;spn=US8412255&amp;sx=showpatent_cn&amp;sv=a6e648b7d96119cb07e442a77ab472d1","US8412255")</f>
        <v>US8412255</v>
      </c>
      <c r="B555" s="9" t="s">
        <v>2732</v>
      </c>
      <c r="C555" s="9" t="s">
        <v>2733</v>
      </c>
      <c r="D555" s="9" t="s">
        <v>48</v>
      </c>
      <c r="E555" s="9" t="s">
        <v>49</v>
      </c>
      <c r="F555" s="9" t="s">
        <v>2734</v>
      </c>
      <c r="G555" s="9" t="s">
        <v>2735</v>
      </c>
      <c r="H555" s="9" t="s">
        <v>2224</v>
      </c>
      <c r="I555" s="9" t="s">
        <v>2224</v>
      </c>
      <c r="J555" s="9" t="s">
        <v>2736</v>
      </c>
      <c r="K555" s="9" t="s">
        <v>89</v>
      </c>
      <c r="L555" s="9" t="s">
        <v>136</v>
      </c>
      <c r="M555" s="9">
        <v>28</v>
      </c>
      <c r="N555" s="9">
        <v>12</v>
      </c>
      <c r="O555" s="9" t="s">
        <v>57</v>
      </c>
      <c r="P555" s="9" t="s">
        <v>58</v>
      </c>
      <c r="Q555" s="9">
        <v>12</v>
      </c>
      <c r="R555" s="9">
        <v>6</v>
      </c>
      <c r="S555" s="9">
        <v>6</v>
      </c>
      <c r="T555" s="9">
        <v>6</v>
      </c>
      <c r="U555" s="9">
        <v>2</v>
      </c>
      <c r="V555" s="9" t="s">
        <v>2737</v>
      </c>
      <c r="W555" s="9">
        <v>2</v>
      </c>
      <c r="X555" s="9">
        <v>0</v>
      </c>
      <c r="Y555" s="9">
        <v>1</v>
      </c>
      <c r="Z555" s="9">
        <v>1</v>
      </c>
      <c r="AA555" s="9">
        <v>26</v>
      </c>
      <c r="AB555" s="9">
        <v>12</v>
      </c>
      <c r="AC555" s="9">
        <v>14</v>
      </c>
      <c r="AD555" s="9" t="s">
        <v>0</v>
      </c>
      <c r="AE555" s="9" t="s">
        <v>60</v>
      </c>
    </row>
    <row r="556" spans="1:31" ht="63.75" x14ac:dyDescent="0.2">
      <c r="A556" s="8" t="str">
        <f>HYPERLINK("http://www.patentics.cn/invokexml.do?sx=showpatent_cn&amp;sf=ShowPatent&amp;spn=US8498661&amp;sx=showpatent_cn&amp;sv=e8e2b9e38bd3a370a941076159d1e638","US8498661")</f>
        <v>US8498661</v>
      </c>
      <c r="B556" s="9" t="s">
        <v>2738</v>
      </c>
      <c r="C556" s="9" t="s">
        <v>2733</v>
      </c>
      <c r="D556" s="9" t="s">
        <v>48</v>
      </c>
      <c r="E556" s="9" t="s">
        <v>49</v>
      </c>
      <c r="F556" s="9" t="s">
        <v>2739</v>
      </c>
      <c r="G556" s="9" t="s">
        <v>2735</v>
      </c>
      <c r="H556" s="9" t="s">
        <v>2224</v>
      </c>
      <c r="I556" s="9" t="s">
        <v>2740</v>
      </c>
      <c r="J556" s="9" t="s">
        <v>2514</v>
      </c>
      <c r="K556" s="9" t="s">
        <v>89</v>
      </c>
      <c r="L556" s="9" t="s">
        <v>136</v>
      </c>
      <c r="M556" s="9">
        <v>47</v>
      </c>
      <c r="N556" s="9">
        <v>14</v>
      </c>
      <c r="O556" s="9" t="s">
        <v>57</v>
      </c>
      <c r="P556" s="9" t="s">
        <v>58</v>
      </c>
      <c r="Q556" s="9">
        <v>13</v>
      </c>
      <c r="R556" s="9">
        <v>7</v>
      </c>
      <c r="S556" s="9">
        <v>6</v>
      </c>
      <c r="T556" s="9">
        <v>6</v>
      </c>
      <c r="U556" s="9">
        <v>0</v>
      </c>
      <c r="V556" s="9" t="s">
        <v>114</v>
      </c>
      <c r="W556" s="9">
        <v>0</v>
      </c>
      <c r="X556" s="9">
        <v>0</v>
      </c>
      <c r="Y556" s="9">
        <v>0</v>
      </c>
      <c r="Z556" s="9">
        <v>0</v>
      </c>
      <c r="AA556" s="9">
        <v>26</v>
      </c>
      <c r="AB556" s="9">
        <v>12</v>
      </c>
      <c r="AC556" s="9">
        <v>14</v>
      </c>
      <c r="AD556" s="9" t="s">
        <v>0</v>
      </c>
      <c r="AE556" s="9" t="s">
        <v>60</v>
      </c>
    </row>
    <row r="557" spans="1:31" ht="38.25" x14ac:dyDescent="0.2">
      <c r="A557" s="8" t="str">
        <f>HYPERLINK("http://www.patentics.cn/invokexml.do?sx=showpatent_cn&amp;sf=ShowPatent&amp;spn=CN101803225B&amp;sx=showpatent_cn&amp;sv=3429a08fc6d07373f053210ed650c456","CN101803225B")</f>
        <v>CN101803225B</v>
      </c>
      <c r="B557" s="9" t="s">
        <v>2741</v>
      </c>
      <c r="C557" s="9" t="s">
        <v>2742</v>
      </c>
      <c r="D557" s="9" t="s">
        <v>301</v>
      </c>
      <c r="E557" s="9" t="s">
        <v>301</v>
      </c>
      <c r="F557" s="9" t="s">
        <v>2743</v>
      </c>
      <c r="G557" s="9" t="s">
        <v>2744</v>
      </c>
      <c r="H557" s="9" t="s">
        <v>2224</v>
      </c>
      <c r="I557" s="9" t="s">
        <v>2745</v>
      </c>
      <c r="J557" s="9" t="s">
        <v>2746</v>
      </c>
      <c r="K557" s="9" t="s">
        <v>89</v>
      </c>
      <c r="L557" s="9" t="s">
        <v>1811</v>
      </c>
      <c r="M557" s="9">
        <v>56</v>
      </c>
      <c r="N557" s="9">
        <v>22</v>
      </c>
      <c r="O557" s="9" t="s">
        <v>57</v>
      </c>
      <c r="P557" s="9" t="s">
        <v>58</v>
      </c>
      <c r="Q557" s="9">
        <v>3</v>
      </c>
      <c r="R557" s="9">
        <v>2</v>
      </c>
      <c r="S557" s="9">
        <v>1</v>
      </c>
      <c r="T557" s="9">
        <v>2</v>
      </c>
      <c r="U557" s="9">
        <v>0</v>
      </c>
      <c r="V557" s="9" t="s">
        <v>114</v>
      </c>
      <c r="W557" s="9">
        <v>0</v>
      </c>
      <c r="X557" s="9">
        <v>0</v>
      </c>
      <c r="Y557" s="9">
        <v>0</v>
      </c>
      <c r="Z557" s="9">
        <v>0</v>
      </c>
      <c r="AA557" s="9">
        <v>26</v>
      </c>
      <c r="AB557" s="9">
        <v>12</v>
      </c>
      <c r="AC557" s="9">
        <v>14</v>
      </c>
      <c r="AD557" s="9" t="s">
        <v>0</v>
      </c>
      <c r="AE557" s="9" t="s">
        <v>60</v>
      </c>
    </row>
    <row r="558" spans="1:31" ht="25.5" x14ac:dyDescent="0.2">
      <c r="A558" s="6" t="str">
        <f>HYPERLINK("http://www.patentics.cn/invokexml.do?sx=showpatent_cn&amp;sf=ShowPatent&amp;spn=CN1731772&amp;sx=showpatent_cn&amp;sv=5417b8da162a122c5da5e79afa5f9076","CN1731772")</f>
        <v>CN1731772</v>
      </c>
      <c r="B558" s="7" t="s">
        <v>2747</v>
      </c>
      <c r="C558" s="7" t="s">
        <v>2748</v>
      </c>
      <c r="D558" s="7" t="s">
        <v>524</v>
      </c>
      <c r="E558" s="7" t="s">
        <v>524</v>
      </c>
      <c r="F558" s="7" t="s">
        <v>2749</v>
      </c>
      <c r="G558" s="7" t="s">
        <v>2750</v>
      </c>
      <c r="H558" s="7" t="s">
        <v>2751</v>
      </c>
      <c r="I558" s="7" t="s">
        <v>2751</v>
      </c>
      <c r="J558" s="7" t="s">
        <v>2752</v>
      </c>
      <c r="K558" s="7" t="s">
        <v>68</v>
      </c>
      <c r="L558" s="7" t="s">
        <v>428</v>
      </c>
      <c r="M558" s="7">
        <v>3</v>
      </c>
      <c r="N558" s="7">
        <v>28</v>
      </c>
      <c r="O558" s="7" t="s">
        <v>42</v>
      </c>
      <c r="P558" s="7" t="s">
        <v>43</v>
      </c>
      <c r="Q558" s="7">
        <v>0</v>
      </c>
      <c r="R558" s="7">
        <v>0</v>
      </c>
      <c r="S558" s="7">
        <v>0</v>
      </c>
      <c r="T558" s="7">
        <v>0</v>
      </c>
      <c r="U558" s="7">
        <v>6</v>
      </c>
      <c r="V558" s="7" t="s">
        <v>2753</v>
      </c>
      <c r="W558" s="7">
        <v>0</v>
      </c>
      <c r="X558" s="7">
        <v>6</v>
      </c>
      <c r="Y558" s="7">
        <v>4</v>
      </c>
      <c r="Z558" s="7">
        <v>2</v>
      </c>
      <c r="AA558" s="7">
        <v>1</v>
      </c>
      <c r="AB558" s="7">
        <v>1</v>
      </c>
      <c r="AC558" s="7" t="s">
        <v>0</v>
      </c>
      <c r="AD558" s="7">
        <v>3</v>
      </c>
      <c r="AE558" s="7" t="s">
        <v>532</v>
      </c>
    </row>
    <row r="559" spans="1:31" ht="140.25" x14ac:dyDescent="0.2">
      <c r="A559" s="8" t="str">
        <f>HYPERLINK("http://www.patentics.cn/invokexml.do?sx=showpatent_cn&amp;sf=ShowPatent&amp;spn=US9172561&amp;sx=showpatent_cn&amp;sv=3b5e5173429c6bee3f35e2551a9b5bf1","US9172561")</f>
        <v>US9172561</v>
      </c>
      <c r="B559" s="9" t="s">
        <v>2657</v>
      </c>
      <c r="C559" s="9" t="s">
        <v>2658</v>
      </c>
      <c r="D559" s="9" t="s">
        <v>578</v>
      </c>
      <c r="E559" s="9" t="s">
        <v>49</v>
      </c>
      <c r="F559" s="9" t="s">
        <v>2659</v>
      </c>
      <c r="G559" s="9" t="s">
        <v>2539</v>
      </c>
      <c r="H559" s="9" t="s">
        <v>2660</v>
      </c>
      <c r="I559" s="9" t="s">
        <v>1778</v>
      </c>
      <c r="J559" s="9" t="s">
        <v>223</v>
      </c>
      <c r="K559" s="9" t="s">
        <v>68</v>
      </c>
      <c r="L559" s="9" t="s">
        <v>446</v>
      </c>
      <c r="M559" s="9">
        <v>56</v>
      </c>
      <c r="N559" s="9">
        <v>10</v>
      </c>
      <c r="O559" s="9" t="s">
        <v>57</v>
      </c>
      <c r="P559" s="9" t="s">
        <v>58</v>
      </c>
      <c r="Q559" s="9">
        <v>13</v>
      </c>
      <c r="R559" s="9">
        <v>1</v>
      </c>
      <c r="S559" s="9">
        <v>12</v>
      </c>
      <c r="T559" s="9">
        <v>11</v>
      </c>
      <c r="U559" s="9">
        <v>8</v>
      </c>
      <c r="V559" s="9" t="s">
        <v>114</v>
      </c>
      <c r="W559" s="9">
        <v>0</v>
      </c>
      <c r="X559" s="9">
        <v>8</v>
      </c>
      <c r="Y559" s="9">
        <v>0</v>
      </c>
      <c r="Z559" s="9">
        <v>1</v>
      </c>
      <c r="AA559" s="9">
        <v>11</v>
      </c>
      <c r="AB559" s="9">
        <v>7</v>
      </c>
      <c r="AC559" s="9">
        <v>14</v>
      </c>
      <c r="AD559" s="9" t="s">
        <v>0</v>
      </c>
      <c r="AE559" s="9" t="s">
        <v>60</v>
      </c>
    </row>
    <row r="560" spans="1:31" ht="63.75" x14ac:dyDescent="0.2">
      <c r="A560" s="8" t="str">
        <f>HYPERLINK("http://www.patentics.cn/invokexml.do?sx=showpatent_cn&amp;sf=ShowPatent&amp;spn=CN102474474B&amp;sx=showpatent_cn&amp;sv=d6d2972cde913f2833fa5a5b7c27a19c","CN102474474B")</f>
        <v>CN102474474B</v>
      </c>
      <c r="B560" s="9" t="s">
        <v>2661</v>
      </c>
      <c r="C560" s="9" t="s">
        <v>2662</v>
      </c>
      <c r="D560" s="9" t="s">
        <v>301</v>
      </c>
      <c r="E560" s="9" t="s">
        <v>301</v>
      </c>
      <c r="F560" s="9" t="s">
        <v>2663</v>
      </c>
      <c r="G560" s="9" t="s">
        <v>2544</v>
      </c>
      <c r="H560" s="9" t="s">
        <v>2660</v>
      </c>
      <c r="I560" s="9" t="s">
        <v>2540</v>
      </c>
      <c r="J560" s="9" t="s">
        <v>2664</v>
      </c>
      <c r="K560" s="9" t="s">
        <v>68</v>
      </c>
      <c r="L560" s="9" t="s">
        <v>428</v>
      </c>
      <c r="M560" s="9">
        <v>47</v>
      </c>
      <c r="N560" s="9">
        <v>14</v>
      </c>
      <c r="O560" s="9" t="s">
        <v>57</v>
      </c>
      <c r="P560" s="9" t="s">
        <v>58</v>
      </c>
      <c r="Q560" s="9">
        <v>8</v>
      </c>
      <c r="R560" s="9">
        <v>0</v>
      </c>
      <c r="S560" s="9">
        <v>8</v>
      </c>
      <c r="T560" s="9">
        <v>8</v>
      </c>
      <c r="U560" s="9">
        <v>8</v>
      </c>
      <c r="V560" s="9" t="s">
        <v>114</v>
      </c>
      <c r="W560" s="9">
        <v>0</v>
      </c>
      <c r="X560" s="9">
        <v>8</v>
      </c>
      <c r="Y560" s="9">
        <v>0</v>
      </c>
      <c r="Z560" s="9">
        <v>1</v>
      </c>
      <c r="AA560" s="9">
        <v>11</v>
      </c>
      <c r="AB560" s="9">
        <v>7</v>
      </c>
      <c r="AC560" s="9">
        <v>14</v>
      </c>
      <c r="AD560" s="9" t="s">
        <v>0</v>
      </c>
      <c r="AE560" s="9" t="s">
        <v>60</v>
      </c>
    </row>
    <row r="561" spans="1:31" ht="63.75" x14ac:dyDescent="0.2">
      <c r="A561" s="8" t="str">
        <f>HYPERLINK("http://www.patentics.cn/invokexml.do?sx=showpatent_cn&amp;sf=ShowPatent&amp;spn=CN102474474&amp;sx=showpatent_cn&amp;sv=9bb1824d12e5945d21fa934d4ca8b470","CN102474474")</f>
        <v>CN102474474</v>
      </c>
      <c r="B561" s="9" t="s">
        <v>2661</v>
      </c>
      <c r="C561" s="9" t="s">
        <v>2662</v>
      </c>
      <c r="D561" s="9" t="s">
        <v>301</v>
      </c>
      <c r="E561" s="9" t="s">
        <v>301</v>
      </c>
      <c r="F561" s="9" t="s">
        <v>2663</v>
      </c>
      <c r="G561" s="9" t="s">
        <v>2544</v>
      </c>
      <c r="H561" s="9" t="s">
        <v>2660</v>
      </c>
      <c r="I561" s="9" t="s">
        <v>2540</v>
      </c>
      <c r="J561" s="9" t="s">
        <v>429</v>
      </c>
      <c r="K561" s="9" t="s">
        <v>68</v>
      </c>
      <c r="L561" s="9" t="s">
        <v>428</v>
      </c>
      <c r="M561" s="9">
        <v>58</v>
      </c>
      <c r="N561" s="9">
        <v>10</v>
      </c>
      <c r="O561" s="9" t="s">
        <v>42</v>
      </c>
      <c r="P561" s="9" t="s">
        <v>58</v>
      </c>
      <c r="Q561" s="9">
        <v>8</v>
      </c>
      <c r="R561" s="9">
        <v>0</v>
      </c>
      <c r="S561" s="9">
        <v>8</v>
      </c>
      <c r="T561" s="9">
        <v>8</v>
      </c>
      <c r="U561" s="9">
        <v>9</v>
      </c>
      <c r="V561" s="9" t="s">
        <v>479</v>
      </c>
      <c r="W561" s="9">
        <v>0</v>
      </c>
      <c r="X561" s="9">
        <v>9</v>
      </c>
      <c r="Y561" s="9">
        <v>1</v>
      </c>
      <c r="Z561" s="9">
        <v>2</v>
      </c>
      <c r="AA561" s="9">
        <v>11</v>
      </c>
      <c r="AB561" s="9">
        <v>7</v>
      </c>
      <c r="AC561" s="9">
        <v>14</v>
      </c>
      <c r="AD561" s="9" t="s">
        <v>0</v>
      </c>
      <c r="AE561" s="9" t="s">
        <v>60</v>
      </c>
    </row>
    <row r="562" spans="1:31" ht="51" x14ac:dyDescent="0.2">
      <c r="A562" s="6" t="str">
        <f>HYPERLINK("http://www.patentics.cn/invokexml.do?sx=showpatent_cn&amp;sf=ShowPatent&amp;spn=CN1731686&amp;sx=showpatent_cn&amp;sv=d89b3d10d0739d2fd72f4428cacc2108","CN1731686")</f>
        <v>CN1731686</v>
      </c>
      <c r="B562" s="7" t="s">
        <v>2754</v>
      </c>
      <c r="C562" s="7" t="s">
        <v>2755</v>
      </c>
      <c r="D562" s="7" t="s">
        <v>2756</v>
      </c>
      <c r="E562" s="7" t="s">
        <v>2757</v>
      </c>
      <c r="F562" s="7" t="s">
        <v>2758</v>
      </c>
      <c r="G562" s="7" t="s">
        <v>2759</v>
      </c>
      <c r="H562" s="7" t="s">
        <v>165</v>
      </c>
      <c r="I562" s="7" t="s">
        <v>165</v>
      </c>
      <c r="J562" s="7" t="s">
        <v>2752</v>
      </c>
      <c r="K562" s="7" t="s">
        <v>1529</v>
      </c>
      <c r="L562" s="7" t="s">
        <v>2760</v>
      </c>
      <c r="M562" s="7">
        <v>10</v>
      </c>
      <c r="N562" s="7">
        <v>17</v>
      </c>
      <c r="O562" s="7" t="s">
        <v>42</v>
      </c>
      <c r="P562" s="7" t="s">
        <v>43</v>
      </c>
      <c r="Q562" s="7">
        <v>0</v>
      </c>
      <c r="R562" s="7">
        <v>0</v>
      </c>
      <c r="S562" s="7">
        <v>0</v>
      </c>
      <c r="T562" s="7">
        <v>0</v>
      </c>
      <c r="U562" s="7">
        <v>7</v>
      </c>
      <c r="V562" s="7" t="s">
        <v>2761</v>
      </c>
      <c r="W562" s="7">
        <v>0</v>
      </c>
      <c r="X562" s="7">
        <v>7</v>
      </c>
      <c r="Y562" s="7">
        <v>4</v>
      </c>
      <c r="Z562" s="7">
        <v>2</v>
      </c>
      <c r="AA562" s="7">
        <v>1</v>
      </c>
      <c r="AB562" s="7">
        <v>1</v>
      </c>
      <c r="AC562" s="7" t="s">
        <v>0</v>
      </c>
      <c r="AD562" s="7">
        <v>3</v>
      </c>
      <c r="AE562" s="7" t="s">
        <v>532</v>
      </c>
    </row>
    <row r="563" spans="1:31" ht="140.25" x14ac:dyDescent="0.2">
      <c r="A563" s="8" t="str">
        <f>HYPERLINK("http://www.patentics.cn/invokexml.do?sx=showpatent_cn&amp;sf=ShowPatent&amp;spn=US8259866&amp;sx=showpatent_cn&amp;sv=04f93dc70083197ac1f93ef88a051865","US8259866")</f>
        <v>US8259866</v>
      </c>
      <c r="B563" s="9" t="s">
        <v>2762</v>
      </c>
      <c r="C563" s="9" t="s">
        <v>2763</v>
      </c>
      <c r="D563" s="9" t="s">
        <v>48</v>
      </c>
      <c r="E563" s="9" t="s">
        <v>49</v>
      </c>
      <c r="F563" s="9" t="s">
        <v>2764</v>
      </c>
      <c r="G563" s="9" t="s">
        <v>2765</v>
      </c>
      <c r="H563" s="9" t="s">
        <v>2712</v>
      </c>
      <c r="I563" s="9" t="s">
        <v>2712</v>
      </c>
      <c r="J563" s="9" t="s">
        <v>2766</v>
      </c>
      <c r="K563" s="9" t="s">
        <v>437</v>
      </c>
      <c r="L563" s="9" t="s">
        <v>2767</v>
      </c>
      <c r="M563" s="9">
        <v>32</v>
      </c>
      <c r="N563" s="9">
        <v>9</v>
      </c>
      <c r="O563" s="9" t="s">
        <v>57</v>
      </c>
      <c r="P563" s="9" t="s">
        <v>58</v>
      </c>
      <c r="Q563" s="9">
        <v>22</v>
      </c>
      <c r="R563" s="9">
        <v>0</v>
      </c>
      <c r="S563" s="9">
        <v>22</v>
      </c>
      <c r="T563" s="9">
        <v>19</v>
      </c>
      <c r="U563" s="9">
        <v>2</v>
      </c>
      <c r="V563" s="9" t="s">
        <v>2768</v>
      </c>
      <c r="W563" s="9">
        <v>2</v>
      </c>
      <c r="X563" s="9">
        <v>0</v>
      </c>
      <c r="Y563" s="9">
        <v>1</v>
      </c>
      <c r="Z563" s="9">
        <v>1</v>
      </c>
      <c r="AA563" s="9">
        <v>9</v>
      </c>
      <c r="AB563" s="9">
        <v>9</v>
      </c>
      <c r="AC563" s="9">
        <v>14</v>
      </c>
      <c r="AD563" s="9" t="s">
        <v>0</v>
      </c>
      <c r="AE563" s="9" t="s">
        <v>532</v>
      </c>
    </row>
    <row r="564" spans="1:31" ht="63.75" x14ac:dyDescent="0.2">
      <c r="A564" s="8" t="str">
        <f>HYPERLINK("http://www.patentics.cn/invokexml.do?sx=showpatent_cn&amp;sf=ShowPatent&amp;spn=US8259867&amp;sx=showpatent_cn&amp;sv=9e5965a9661eb25257de8b2f0e8624c1","US8259867")</f>
        <v>US8259867</v>
      </c>
      <c r="B564" s="9" t="s">
        <v>2769</v>
      </c>
      <c r="C564" s="9" t="s">
        <v>2770</v>
      </c>
      <c r="D564" s="9" t="s">
        <v>48</v>
      </c>
      <c r="E564" s="9" t="s">
        <v>49</v>
      </c>
      <c r="F564" s="9" t="s">
        <v>2771</v>
      </c>
      <c r="G564" s="9" t="s">
        <v>2772</v>
      </c>
      <c r="H564" s="9" t="s">
        <v>2773</v>
      </c>
      <c r="I564" s="9" t="s">
        <v>2773</v>
      </c>
      <c r="J564" s="9" t="s">
        <v>2766</v>
      </c>
      <c r="K564" s="9" t="s">
        <v>2207</v>
      </c>
      <c r="L564" s="9" t="s">
        <v>2774</v>
      </c>
      <c r="M564" s="9">
        <v>28</v>
      </c>
      <c r="N564" s="9">
        <v>15</v>
      </c>
      <c r="O564" s="9" t="s">
        <v>57</v>
      </c>
      <c r="P564" s="9" t="s">
        <v>58</v>
      </c>
      <c r="Q564" s="9">
        <v>23</v>
      </c>
      <c r="R564" s="9">
        <v>1</v>
      </c>
      <c r="S564" s="9">
        <v>22</v>
      </c>
      <c r="T564" s="9">
        <v>20</v>
      </c>
      <c r="U564" s="9">
        <v>1</v>
      </c>
      <c r="V564" s="9" t="s">
        <v>82</v>
      </c>
      <c r="W564" s="9">
        <v>0</v>
      </c>
      <c r="X564" s="9">
        <v>1</v>
      </c>
      <c r="Y564" s="9">
        <v>1</v>
      </c>
      <c r="Z564" s="9">
        <v>1</v>
      </c>
      <c r="AA564" s="9">
        <v>3</v>
      </c>
      <c r="AB564" s="9">
        <v>3</v>
      </c>
      <c r="AC564" s="9">
        <v>14</v>
      </c>
      <c r="AD564" s="9" t="s">
        <v>0</v>
      </c>
      <c r="AE564" s="9" t="s">
        <v>532</v>
      </c>
    </row>
    <row r="565" spans="1:31" ht="38.25" x14ac:dyDescent="0.2">
      <c r="A565" s="8" t="str">
        <f>HYPERLINK("http://www.patentics.cn/invokexml.do?sx=showpatent_cn&amp;sf=ShowPatent&amp;spn=US8406342&amp;sx=showpatent_cn&amp;sv=6ac9375d42acefd0165a7a079196a1f9","US8406342")</f>
        <v>US8406342</v>
      </c>
      <c r="B565" s="9" t="s">
        <v>2775</v>
      </c>
      <c r="C565" s="9" t="s">
        <v>2776</v>
      </c>
      <c r="D565" s="9" t="s">
        <v>48</v>
      </c>
      <c r="E565" s="9" t="s">
        <v>49</v>
      </c>
      <c r="F565" s="9" t="s">
        <v>2777</v>
      </c>
      <c r="G565" s="9" t="s">
        <v>2778</v>
      </c>
      <c r="H565" s="9" t="s">
        <v>1270</v>
      </c>
      <c r="I565" s="9" t="s">
        <v>1270</v>
      </c>
      <c r="J565" s="9" t="s">
        <v>2779</v>
      </c>
      <c r="K565" s="9" t="s">
        <v>368</v>
      </c>
      <c r="L565" s="9" t="s">
        <v>369</v>
      </c>
      <c r="M565" s="9">
        <v>20</v>
      </c>
      <c r="N565" s="9">
        <v>16</v>
      </c>
      <c r="O565" s="9" t="s">
        <v>57</v>
      </c>
      <c r="P565" s="9" t="s">
        <v>58</v>
      </c>
      <c r="Q565" s="9">
        <v>16</v>
      </c>
      <c r="R565" s="9">
        <v>3</v>
      </c>
      <c r="S565" s="9">
        <v>13</v>
      </c>
      <c r="T565" s="9">
        <v>10</v>
      </c>
      <c r="U565" s="9">
        <v>0</v>
      </c>
      <c r="V565" s="9" t="s">
        <v>114</v>
      </c>
      <c r="W565" s="9">
        <v>0</v>
      </c>
      <c r="X565" s="9">
        <v>0</v>
      </c>
      <c r="Y565" s="9">
        <v>0</v>
      </c>
      <c r="Z565" s="9">
        <v>0</v>
      </c>
      <c r="AA565" s="9">
        <v>12</v>
      </c>
      <c r="AB565" s="9">
        <v>10</v>
      </c>
      <c r="AC565" s="9">
        <v>14</v>
      </c>
      <c r="AD565" s="9" t="s">
        <v>0</v>
      </c>
      <c r="AE565" s="9" t="s">
        <v>60</v>
      </c>
    </row>
    <row r="566" spans="1:31" x14ac:dyDescent="0.2">
      <c r="A566" s="6" t="str">
        <f>HYPERLINK("http://www.patentics.cn/invokexml.do?sx=showpatent_cn&amp;sf=ShowPatent&amp;spn=CN1726433&amp;sx=showpatent_cn&amp;sv=0281e079a9bc31f979e7fcd786e8e83d","CN1726433")</f>
        <v>CN1726433</v>
      </c>
      <c r="B566" s="7" t="s">
        <v>2780</v>
      </c>
      <c r="C566" s="7" t="s">
        <v>2781</v>
      </c>
      <c r="D566" s="7" t="s">
        <v>2782</v>
      </c>
      <c r="E566" s="7" t="s">
        <v>2783</v>
      </c>
      <c r="F566" s="7" t="s">
        <v>2784</v>
      </c>
      <c r="G566" s="7" t="s">
        <v>2785</v>
      </c>
      <c r="H566" s="7" t="s">
        <v>2786</v>
      </c>
      <c r="I566" s="7" t="s">
        <v>2787</v>
      </c>
      <c r="J566" s="7" t="s">
        <v>2788</v>
      </c>
      <c r="K566" s="7" t="s">
        <v>2789</v>
      </c>
      <c r="L566" s="7" t="s">
        <v>2790</v>
      </c>
      <c r="M566" s="7">
        <v>29</v>
      </c>
      <c r="N566" s="7">
        <v>18</v>
      </c>
      <c r="O566" s="7" t="s">
        <v>42</v>
      </c>
      <c r="P566" s="7" t="s">
        <v>58</v>
      </c>
      <c r="Q566" s="7">
        <v>11</v>
      </c>
      <c r="R566" s="7">
        <v>0</v>
      </c>
      <c r="S566" s="7">
        <v>11</v>
      </c>
      <c r="T566" s="7">
        <v>2</v>
      </c>
      <c r="U566" s="7">
        <v>14</v>
      </c>
      <c r="V566" s="7" t="s">
        <v>2791</v>
      </c>
      <c r="W566" s="7">
        <v>0</v>
      </c>
      <c r="X566" s="7">
        <v>14</v>
      </c>
      <c r="Y566" s="7">
        <v>8</v>
      </c>
      <c r="Z566" s="7">
        <v>2</v>
      </c>
      <c r="AA566" s="7">
        <v>4</v>
      </c>
      <c r="AB566" s="7">
        <v>3</v>
      </c>
      <c r="AC566" s="7" t="s">
        <v>0</v>
      </c>
      <c r="AD566" s="7">
        <v>3</v>
      </c>
      <c r="AE566" s="7" t="s">
        <v>60</v>
      </c>
    </row>
    <row r="567" spans="1:31" ht="102" x14ac:dyDescent="0.2">
      <c r="A567" s="8" t="str">
        <f>HYPERLINK("http://www.patentics.cn/invokexml.do?sx=showpatent_cn&amp;sf=ShowPatent&amp;spn=US9337100&amp;sx=showpatent_cn&amp;sv=1407d3d0a42cbf782fe03179e6c96936","US9337100")</f>
        <v>US9337100</v>
      </c>
      <c r="B567" s="9" t="s">
        <v>2792</v>
      </c>
      <c r="C567" s="9" t="s">
        <v>2793</v>
      </c>
      <c r="D567" s="9" t="s">
        <v>48</v>
      </c>
      <c r="E567" s="9" t="s">
        <v>49</v>
      </c>
      <c r="F567" s="9" t="s">
        <v>2794</v>
      </c>
      <c r="G567" s="9" t="s">
        <v>2795</v>
      </c>
      <c r="H567" s="9" t="s">
        <v>2796</v>
      </c>
      <c r="I567" s="9" t="s">
        <v>2796</v>
      </c>
      <c r="J567" s="9" t="s">
        <v>777</v>
      </c>
      <c r="K567" s="9" t="s">
        <v>773</v>
      </c>
      <c r="L567" s="9" t="s">
        <v>2797</v>
      </c>
      <c r="M567" s="9">
        <v>15</v>
      </c>
      <c r="N567" s="9">
        <v>10</v>
      </c>
      <c r="O567" s="9" t="s">
        <v>57</v>
      </c>
      <c r="P567" s="9" t="s">
        <v>58</v>
      </c>
      <c r="Q567" s="9">
        <v>32</v>
      </c>
      <c r="R567" s="9">
        <v>0</v>
      </c>
      <c r="S567" s="9">
        <v>32</v>
      </c>
      <c r="T567" s="9">
        <v>19</v>
      </c>
      <c r="U567" s="9">
        <v>0</v>
      </c>
      <c r="V567" s="9" t="s">
        <v>114</v>
      </c>
      <c r="W567" s="9">
        <v>0</v>
      </c>
      <c r="X567" s="9">
        <v>0</v>
      </c>
      <c r="Y567" s="9">
        <v>0</v>
      </c>
      <c r="Z567" s="9">
        <v>0</v>
      </c>
      <c r="AA567" s="9">
        <v>9</v>
      </c>
      <c r="AB567" s="9">
        <v>7</v>
      </c>
      <c r="AC567" s="9">
        <v>14</v>
      </c>
      <c r="AD567" s="9" t="s">
        <v>0</v>
      </c>
      <c r="AE567" s="9" t="s">
        <v>60</v>
      </c>
    </row>
    <row r="568" spans="1:31" ht="63.75" x14ac:dyDescent="0.2">
      <c r="A568" s="8" t="str">
        <f>HYPERLINK("http://www.patentics.cn/invokexml.do?sx=showpatent_cn&amp;sf=ShowPatent&amp;spn=CN102449769B&amp;sx=showpatent_cn&amp;sv=5d7c3c58f52b1edb2207439853f0cbf2","CN102449769B")</f>
        <v>CN102449769B</v>
      </c>
      <c r="B568" s="9" t="s">
        <v>2798</v>
      </c>
      <c r="C568" s="9" t="s">
        <v>2799</v>
      </c>
      <c r="D568" s="9" t="s">
        <v>301</v>
      </c>
      <c r="E568" s="9" t="s">
        <v>301</v>
      </c>
      <c r="F568" s="9" t="s">
        <v>2800</v>
      </c>
      <c r="G568" s="9" t="s">
        <v>2801</v>
      </c>
      <c r="H568" s="9" t="s">
        <v>2796</v>
      </c>
      <c r="I568" s="9" t="s">
        <v>2646</v>
      </c>
      <c r="J568" s="9" t="s">
        <v>330</v>
      </c>
      <c r="K568" s="9" t="s">
        <v>773</v>
      </c>
      <c r="L568" s="9" t="s">
        <v>2802</v>
      </c>
      <c r="M568" s="9">
        <v>13</v>
      </c>
      <c r="N568" s="9">
        <v>20</v>
      </c>
      <c r="O568" s="9" t="s">
        <v>57</v>
      </c>
      <c r="P568" s="9" t="s">
        <v>58</v>
      </c>
      <c r="Q568" s="9">
        <v>2</v>
      </c>
      <c r="R568" s="9">
        <v>0</v>
      </c>
      <c r="S568" s="9">
        <v>2</v>
      </c>
      <c r="T568" s="9">
        <v>2</v>
      </c>
      <c r="U568" s="9">
        <v>0</v>
      </c>
      <c r="V568" s="9" t="s">
        <v>114</v>
      </c>
      <c r="W568" s="9">
        <v>0</v>
      </c>
      <c r="X568" s="9">
        <v>0</v>
      </c>
      <c r="Y568" s="9">
        <v>0</v>
      </c>
      <c r="Z568" s="9">
        <v>0</v>
      </c>
      <c r="AA568" s="9">
        <v>9</v>
      </c>
      <c r="AB568" s="9">
        <v>7</v>
      </c>
      <c r="AC568" s="9">
        <v>14</v>
      </c>
      <c r="AD568" s="9" t="s">
        <v>0</v>
      </c>
      <c r="AE568" s="9" t="s">
        <v>60</v>
      </c>
    </row>
    <row r="569" spans="1:31" ht="63.75" x14ac:dyDescent="0.2">
      <c r="A569" s="8" t="str">
        <f>HYPERLINK("http://www.patentics.cn/invokexml.do?sx=showpatent_cn&amp;sf=ShowPatent&amp;spn=CN102449769&amp;sx=showpatent_cn&amp;sv=ab146a05026f7ba69fe7d6421e08d9f3","CN102449769")</f>
        <v>CN102449769</v>
      </c>
      <c r="B569" s="9" t="s">
        <v>2798</v>
      </c>
      <c r="C569" s="9" t="s">
        <v>2799</v>
      </c>
      <c r="D569" s="9" t="s">
        <v>301</v>
      </c>
      <c r="E569" s="9" t="s">
        <v>301</v>
      </c>
      <c r="F569" s="9" t="s">
        <v>2803</v>
      </c>
      <c r="G569" s="9" t="s">
        <v>2801</v>
      </c>
      <c r="H569" s="9" t="s">
        <v>2796</v>
      </c>
      <c r="I569" s="9" t="s">
        <v>2646</v>
      </c>
      <c r="J569" s="9" t="s">
        <v>2650</v>
      </c>
      <c r="K569" s="9" t="s">
        <v>773</v>
      </c>
      <c r="L569" s="9" t="s">
        <v>2802</v>
      </c>
      <c r="M569" s="9">
        <v>25</v>
      </c>
      <c r="N569" s="9">
        <v>6</v>
      </c>
      <c r="O569" s="9" t="s">
        <v>42</v>
      </c>
      <c r="P569" s="9" t="s">
        <v>58</v>
      </c>
      <c r="Q569" s="9">
        <v>5</v>
      </c>
      <c r="R569" s="9">
        <v>0</v>
      </c>
      <c r="S569" s="9">
        <v>5</v>
      </c>
      <c r="T569" s="9">
        <v>4</v>
      </c>
      <c r="U569" s="9">
        <v>0</v>
      </c>
      <c r="V569" s="9" t="s">
        <v>114</v>
      </c>
      <c r="W569" s="9">
        <v>0</v>
      </c>
      <c r="X569" s="9">
        <v>0</v>
      </c>
      <c r="Y569" s="9">
        <v>0</v>
      </c>
      <c r="Z569" s="9">
        <v>0</v>
      </c>
      <c r="AA569" s="9">
        <v>9</v>
      </c>
      <c r="AB569" s="9">
        <v>7</v>
      </c>
      <c r="AC569" s="9">
        <v>14</v>
      </c>
      <c r="AD569" s="9" t="s">
        <v>0</v>
      </c>
      <c r="AE569" s="9" t="s">
        <v>60</v>
      </c>
    </row>
    <row r="570" spans="1:31" ht="63.75" x14ac:dyDescent="0.2">
      <c r="A570" s="6" t="str">
        <f>HYPERLINK("http://www.patentics.cn/invokexml.do?sx=showpatent_cn&amp;sf=ShowPatent&amp;spn=CN1722893&amp;sx=showpatent_cn&amp;sv=e8192733e3deaf304b927b0904ff0bc7","CN1722893")</f>
        <v>CN1722893</v>
      </c>
      <c r="B570" s="7" t="s">
        <v>2804</v>
      </c>
      <c r="C570" s="7" t="s">
        <v>2805</v>
      </c>
      <c r="D570" s="7" t="s">
        <v>2806</v>
      </c>
      <c r="E570" s="7" t="s">
        <v>2807</v>
      </c>
      <c r="F570" s="7" t="s">
        <v>2808</v>
      </c>
      <c r="G570" s="7" t="s">
        <v>2809</v>
      </c>
      <c r="H570" s="7" t="s">
        <v>2810</v>
      </c>
      <c r="I570" s="7" t="s">
        <v>110</v>
      </c>
      <c r="J570" s="7" t="s">
        <v>2045</v>
      </c>
      <c r="K570" s="7" t="s">
        <v>96</v>
      </c>
      <c r="L570" s="7" t="s">
        <v>2811</v>
      </c>
      <c r="M570" s="7">
        <v>15</v>
      </c>
      <c r="N570" s="7">
        <v>14</v>
      </c>
      <c r="O570" s="7" t="s">
        <v>42</v>
      </c>
      <c r="P570" s="7" t="s">
        <v>58</v>
      </c>
      <c r="Q570" s="7">
        <v>0</v>
      </c>
      <c r="R570" s="7">
        <v>0</v>
      </c>
      <c r="S570" s="7">
        <v>0</v>
      </c>
      <c r="T570" s="7">
        <v>0</v>
      </c>
      <c r="U570" s="7">
        <v>14</v>
      </c>
      <c r="V570" s="7" t="s">
        <v>2812</v>
      </c>
      <c r="W570" s="7">
        <v>0</v>
      </c>
      <c r="X570" s="7">
        <v>14</v>
      </c>
      <c r="Y570" s="7">
        <v>5</v>
      </c>
      <c r="Z570" s="7">
        <v>4</v>
      </c>
      <c r="AA570" s="7">
        <v>4</v>
      </c>
      <c r="AB570" s="7">
        <v>2</v>
      </c>
      <c r="AC570" s="7" t="s">
        <v>0</v>
      </c>
      <c r="AD570" s="7">
        <v>3</v>
      </c>
      <c r="AE570" s="7" t="s">
        <v>60</v>
      </c>
    </row>
    <row r="571" spans="1:31" ht="25.5" x14ac:dyDescent="0.2">
      <c r="A571" s="8" t="str">
        <f>HYPERLINK("http://www.patentics.cn/invokexml.do?sx=showpatent_cn&amp;sf=ShowPatent&amp;spn=CN101523755B&amp;sx=showpatent_cn&amp;sv=ee327ef94c9817f8aa402edb886959fb","CN101523755B")</f>
        <v>CN101523755B</v>
      </c>
      <c r="B571" s="9" t="s">
        <v>2813</v>
      </c>
      <c r="C571" s="9" t="s">
        <v>2814</v>
      </c>
      <c r="D571" s="9" t="s">
        <v>301</v>
      </c>
      <c r="E571" s="9" t="s">
        <v>301</v>
      </c>
      <c r="F571" s="9" t="s">
        <v>2815</v>
      </c>
      <c r="G571" s="9" t="s">
        <v>2744</v>
      </c>
      <c r="H571" s="9" t="s">
        <v>2816</v>
      </c>
      <c r="I571" s="9" t="s">
        <v>2817</v>
      </c>
      <c r="J571" s="9" t="s">
        <v>2818</v>
      </c>
      <c r="K571" s="9" t="s">
        <v>89</v>
      </c>
      <c r="L571" s="9" t="s">
        <v>340</v>
      </c>
      <c r="M571" s="9">
        <v>28</v>
      </c>
      <c r="N571" s="9">
        <v>14</v>
      </c>
      <c r="O571" s="9" t="s">
        <v>57</v>
      </c>
      <c r="P571" s="9" t="s">
        <v>58</v>
      </c>
      <c r="Q571" s="9">
        <v>1</v>
      </c>
      <c r="R571" s="9">
        <v>0</v>
      </c>
      <c r="S571" s="9">
        <v>1</v>
      </c>
      <c r="T571" s="9">
        <v>1</v>
      </c>
      <c r="U571" s="9">
        <v>0</v>
      </c>
      <c r="V571" s="9" t="s">
        <v>114</v>
      </c>
      <c r="W571" s="9">
        <v>0</v>
      </c>
      <c r="X571" s="9">
        <v>0</v>
      </c>
      <c r="Y571" s="9">
        <v>0</v>
      </c>
      <c r="Z571" s="9">
        <v>0</v>
      </c>
      <c r="AA571" s="9">
        <v>17</v>
      </c>
      <c r="AB571" s="9">
        <v>10</v>
      </c>
      <c r="AC571" s="9">
        <v>14</v>
      </c>
      <c r="AD571" s="9" t="s">
        <v>0</v>
      </c>
      <c r="AE571" s="9" t="s">
        <v>60</v>
      </c>
    </row>
    <row r="572" spans="1:31" ht="38.25" x14ac:dyDescent="0.2">
      <c r="A572" s="8" t="str">
        <f>HYPERLINK("http://www.patentics.cn/invokexml.do?sx=showpatent_cn&amp;sf=ShowPatent&amp;spn=TWI465060&amp;sx=showpatent_cn&amp;sv=d8595d8e54e114fd3e3c991398eb5ba0","TWI465060")</f>
        <v>TWI465060</v>
      </c>
      <c r="B572" s="9" t="s">
        <v>2819</v>
      </c>
      <c r="C572" s="9" t="s">
        <v>2820</v>
      </c>
      <c r="D572" s="9" t="s">
        <v>2189</v>
      </c>
      <c r="E572" s="9" t="s">
        <v>301</v>
      </c>
      <c r="F572" s="9" t="s">
        <v>2821</v>
      </c>
      <c r="G572" s="9" t="s">
        <v>2822</v>
      </c>
      <c r="H572" s="9" t="s">
        <v>2816</v>
      </c>
      <c r="I572" s="9" t="s">
        <v>2596</v>
      </c>
      <c r="J572" s="9" t="s">
        <v>2823</v>
      </c>
      <c r="K572" s="9" t="s">
        <v>89</v>
      </c>
      <c r="L572" s="9" t="s">
        <v>1811</v>
      </c>
      <c r="M572" s="9">
        <v>38</v>
      </c>
      <c r="N572" s="9">
        <v>13</v>
      </c>
      <c r="O572" s="9" t="s">
        <v>57</v>
      </c>
      <c r="P572" s="9" t="s">
        <v>58</v>
      </c>
      <c r="Q572" s="9">
        <v>8</v>
      </c>
      <c r="R572" s="9">
        <v>3</v>
      </c>
      <c r="S572" s="9">
        <v>5</v>
      </c>
      <c r="T572" s="9">
        <v>5</v>
      </c>
      <c r="U572" s="9">
        <v>0</v>
      </c>
      <c r="V572" s="9" t="s">
        <v>114</v>
      </c>
      <c r="W572" s="9">
        <v>0</v>
      </c>
      <c r="X572" s="9">
        <v>0</v>
      </c>
      <c r="Y572" s="9">
        <v>0</v>
      </c>
      <c r="Z572" s="9">
        <v>0</v>
      </c>
      <c r="AA572" s="9">
        <v>17</v>
      </c>
      <c r="AB572" s="9">
        <v>10</v>
      </c>
      <c r="AC572" s="9">
        <v>14</v>
      </c>
      <c r="AD572" s="9" t="s">
        <v>0</v>
      </c>
      <c r="AE572" s="9" t="s">
        <v>0</v>
      </c>
    </row>
    <row r="573" spans="1:31" ht="114.75" x14ac:dyDescent="0.2">
      <c r="A573" s="8" t="str">
        <f>HYPERLINK("http://www.patentics.cn/invokexml.do?sx=showpatent_cn&amp;sf=ShowPatent&amp;spn=CN102948239&amp;sx=showpatent_cn&amp;sv=e08088d04af2603739a3c6ed95b24282","CN102948239")</f>
        <v>CN102948239</v>
      </c>
      <c r="B573" s="9" t="s">
        <v>2824</v>
      </c>
      <c r="C573" s="9" t="s">
        <v>2825</v>
      </c>
      <c r="D573" s="9" t="s">
        <v>301</v>
      </c>
      <c r="E573" s="9" t="s">
        <v>301</v>
      </c>
      <c r="F573" s="9" t="s">
        <v>2826</v>
      </c>
      <c r="G573" s="9" t="s">
        <v>2827</v>
      </c>
      <c r="H573" s="9" t="s">
        <v>2828</v>
      </c>
      <c r="I573" s="9" t="s">
        <v>2829</v>
      </c>
      <c r="J573" s="9" t="s">
        <v>1234</v>
      </c>
      <c r="K573" s="9" t="s">
        <v>55</v>
      </c>
      <c r="L573" s="9" t="s">
        <v>272</v>
      </c>
      <c r="M573" s="9">
        <v>24</v>
      </c>
      <c r="N573" s="9">
        <v>9</v>
      </c>
      <c r="O573" s="9" t="s">
        <v>42</v>
      </c>
      <c r="P573" s="9" t="s">
        <v>58</v>
      </c>
      <c r="Q573" s="9">
        <v>2</v>
      </c>
      <c r="R573" s="9">
        <v>1</v>
      </c>
      <c r="S573" s="9">
        <v>1</v>
      </c>
      <c r="T573" s="9">
        <v>2</v>
      </c>
      <c r="U573" s="9">
        <v>0</v>
      </c>
      <c r="V573" s="9" t="s">
        <v>114</v>
      </c>
      <c r="W573" s="9">
        <v>0</v>
      </c>
      <c r="X573" s="9">
        <v>0</v>
      </c>
      <c r="Y573" s="9">
        <v>0</v>
      </c>
      <c r="Z573" s="9">
        <v>0</v>
      </c>
      <c r="AA573" s="9">
        <v>9</v>
      </c>
      <c r="AB573" s="9">
        <v>6</v>
      </c>
      <c r="AC573" s="9">
        <v>14</v>
      </c>
      <c r="AD573" s="9" t="s">
        <v>0</v>
      </c>
      <c r="AE573" s="9" t="s">
        <v>60</v>
      </c>
    </row>
    <row r="574" spans="1:31" ht="51" x14ac:dyDescent="0.2">
      <c r="A574" s="6" t="str">
        <f>HYPERLINK("http://www.patentics.cn/invokexml.do?sx=showpatent_cn&amp;sf=ShowPatent&amp;spn=CN1713561&amp;sx=showpatent_cn&amp;sv=fe46c07e973688c4d2fcd68cd5ae254e","CN1713561")</f>
        <v>CN1713561</v>
      </c>
      <c r="B574" s="7" t="s">
        <v>2830</v>
      </c>
      <c r="C574" s="7" t="s">
        <v>2831</v>
      </c>
      <c r="D574" s="7" t="s">
        <v>2832</v>
      </c>
      <c r="E574" s="7" t="s">
        <v>2833</v>
      </c>
      <c r="F574" s="7" t="s">
        <v>2834</v>
      </c>
      <c r="G574" s="7" t="s">
        <v>2835</v>
      </c>
      <c r="H574" s="7" t="s">
        <v>2836</v>
      </c>
      <c r="I574" s="7" t="s">
        <v>2837</v>
      </c>
      <c r="J574" s="7" t="s">
        <v>2838</v>
      </c>
      <c r="K574" s="7" t="s">
        <v>68</v>
      </c>
      <c r="L574" s="7" t="s">
        <v>306</v>
      </c>
      <c r="M574" s="7">
        <v>25</v>
      </c>
      <c r="N574" s="7">
        <v>13</v>
      </c>
      <c r="O574" s="7" t="s">
        <v>42</v>
      </c>
      <c r="P574" s="7" t="s">
        <v>341</v>
      </c>
      <c r="Q574" s="7">
        <v>0</v>
      </c>
      <c r="R574" s="7">
        <v>0</v>
      </c>
      <c r="S574" s="7">
        <v>0</v>
      </c>
      <c r="T574" s="7">
        <v>0</v>
      </c>
      <c r="U574" s="7">
        <v>16</v>
      </c>
      <c r="V574" s="7" t="s">
        <v>2839</v>
      </c>
      <c r="W574" s="7">
        <v>1</v>
      </c>
      <c r="X574" s="7">
        <v>15</v>
      </c>
      <c r="Y574" s="7">
        <v>7</v>
      </c>
      <c r="Z574" s="7">
        <v>3</v>
      </c>
      <c r="AA574" s="7">
        <v>9</v>
      </c>
      <c r="AB574" s="7">
        <v>5</v>
      </c>
      <c r="AC574" s="7" t="s">
        <v>0</v>
      </c>
      <c r="AD574" s="7">
        <v>3</v>
      </c>
      <c r="AE574" s="7" t="s">
        <v>60</v>
      </c>
    </row>
    <row r="575" spans="1:31" ht="51" x14ac:dyDescent="0.2">
      <c r="A575" s="8" t="str">
        <f>HYPERLINK("http://www.patentics.cn/invokexml.do?sx=showpatent_cn&amp;sf=ShowPatent&amp;spn=CN101529962B&amp;sx=showpatent_cn&amp;sv=0636a6182f00ed30f23bac2272fbd7c0","CN101529962B")</f>
        <v>CN101529962B</v>
      </c>
      <c r="B575" s="9" t="s">
        <v>2840</v>
      </c>
      <c r="C575" s="9" t="s">
        <v>2841</v>
      </c>
      <c r="D575" s="9" t="s">
        <v>301</v>
      </c>
      <c r="E575" s="9" t="s">
        <v>301</v>
      </c>
      <c r="F575" s="9" t="s">
        <v>2842</v>
      </c>
      <c r="G575" s="9" t="s">
        <v>2744</v>
      </c>
      <c r="H575" s="9" t="s">
        <v>2843</v>
      </c>
      <c r="I575" s="9" t="s">
        <v>2844</v>
      </c>
      <c r="J575" s="9" t="s">
        <v>2845</v>
      </c>
      <c r="K575" s="9" t="s">
        <v>55</v>
      </c>
      <c r="L575" s="9" t="s">
        <v>272</v>
      </c>
      <c r="M575" s="9">
        <v>22</v>
      </c>
      <c r="N575" s="9">
        <v>12</v>
      </c>
      <c r="O575" s="9" t="s">
        <v>57</v>
      </c>
      <c r="P575" s="9" t="s">
        <v>58</v>
      </c>
      <c r="Q575" s="9">
        <v>3</v>
      </c>
      <c r="R575" s="9">
        <v>1</v>
      </c>
      <c r="S575" s="9">
        <v>2</v>
      </c>
      <c r="T575" s="9">
        <v>3</v>
      </c>
      <c r="U575" s="9">
        <v>0</v>
      </c>
      <c r="V575" s="9" t="s">
        <v>114</v>
      </c>
      <c r="W575" s="9">
        <v>0</v>
      </c>
      <c r="X575" s="9">
        <v>0</v>
      </c>
      <c r="Y575" s="9">
        <v>0</v>
      </c>
      <c r="Z575" s="9">
        <v>0</v>
      </c>
      <c r="AA575" s="9">
        <v>28</v>
      </c>
      <c r="AB575" s="9">
        <v>12</v>
      </c>
      <c r="AC575" s="9">
        <v>14</v>
      </c>
      <c r="AD575" s="9" t="s">
        <v>0</v>
      </c>
      <c r="AE575" s="9" t="s">
        <v>60</v>
      </c>
    </row>
    <row r="576" spans="1:31" ht="51" x14ac:dyDescent="0.2">
      <c r="A576" s="8" t="str">
        <f>HYPERLINK("http://www.patentics.cn/invokexml.do?sx=showpatent_cn&amp;sf=ShowPatent&amp;spn=CN103109577B&amp;sx=showpatent_cn&amp;sv=fd52fd6848f30f47262777ffbf0a3a82","CN103109577B")</f>
        <v>CN103109577B</v>
      </c>
      <c r="B576" s="9" t="s">
        <v>2846</v>
      </c>
      <c r="C576" s="9" t="s">
        <v>2847</v>
      </c>
      <c r="D576" s="9" t="s">
        <v>301</v>
      </c>
      <c r="E576" s="9" t="s">
        <v>301</v>
      </c>
      <c r="F576" s="9" t="s">
        <v>2848</v>
      </c>
      <c r="G576" s="9" t="s">
        <v>2849</v>
      </c>
      <c r="H576" s="9" t="s">
        <v>1169</v>
      </c>
      <c r="I576" s="9" t="s">
        <v>866</v>
      </c>
      <c r="J576" s="9" t="s">
        <v>2850</v>
      </c>
      <c r="K576" s="9" t="s">
        <v>55</v>
      </c>
      <c r="L576" s="9" t="s">
        <v>2851</v>
      </c>
      <c r="M576" s="9">
        <v>18</v>
      </c>
      <c r="N576" s="9">
        <v>8</v>
      </c>
      <c r="O576" s="9" t="s">
        <v>57</v>
      </c>
      <c r="P576" s="9" t="s">
        <v>58</v>
      </c>
      <c r="Q576" s="9">
        <v>4</v>
      </c>
      <c r="R576" s="9">
        <v>0</v>
      </c>
      <c r="S576" s="9">
        <v>4</v>
      </c>
      <c r="T576" s="9">
        <v>4</v>
      </c>
      <c r="U576" s="9">
        <v>0</v>
      </c>
      <c r="V576" s="9" t="s">
        <v>114</v>
      </c>
      <c r="W576" s="9">
        <v>0</v>
      </c>
      <c r="X576" s="9">
        <v>0</v>
      </c>
      <c r="Y576" s="9">
        <v>0</v>
      </c>
      <c r="Z576" s="9">
        <v>0</v>
      </c>
      <c r="AA576" s="9">
        <v>0</v>
      </c>
      <c r="AB576" s="9">
        <v>0</v>
      </c>
      <c r="AC576" s="9">
        <v>14</v>
      </c>
      <c r="AD576" s="9" t="s">
        <v>0</v>
      </c>
      <c r="AE576" s="9" t="s">
        <v>60</v>
      </c>
    </row>
    <row r="577" spans="1:31" ht="51" x14ac:dyDescent="0.2">
      <c r="A577" s="8" t="str">
        <f>HYPERLINK("http://www.patentics.cn/invokexml.do?sx=showpatent_cn&amp;sf=ShowPatent&amp;spn=CN103109577&amp;sx=showpatent_cn&amp;sv=25504df6676ba52495731239bdfdd524","CN103109577")</f>
        <v>CN103109577</v>
      </c>
      <c r="B577" s="9" t="s">
        <v>2846</v>
      </c>
      <c r="C577" s="9" t="s">
        <v>2847</v>
      </c>
      <c r="D577" s="9" t="s">
        <v>301</v>
      </c>
      <c r="E577" s="9" t="s">
        <v>301</v>
      </c>
      <c r="F577" s="9" t="s">
        <v>2848</v>
      </c>
      <c r="G577" s="9" t="s">
        <v>2849</v>
      </c>
      <c r="H577" s="9" t="s">
        <v>1169</v>
      </c>
      <c r="I577" s="9" t="s">
        <v>866</v>
      </c>
      <c r="J577" s="9" t="s">
        <v>2852</v>
      </c>
      <c r="K577" s="9" t="s">
        <v>55</v>
      </c>
      <c r="L577" s="9" t="s">
        <v>2851</v>
      </c>
      <c r="M577" s="9">
        <v>22</v>
      </c>
      <c r="N577" s="9">
        <v>7</v>
      </c>
      <c r="O577" s="9" t="s">
        <v>42</v>
      </c>
      <c r="P577" s="9" t="s">
        <v>58</v>
      </c>
      <c r="Q577" s="9">
        <v>4</v>
      </c>
      <c r="R577" s="9">
        <v>0</v>
      </c>
      <c r="S577" s="9">
        <v>4</v>
      </c>
      <c r="T577" s="9">
        <v>4</v>
      </c>
      <c r="U577" s="9">
        <v>0</v>
      </c>
      <c r="V577" s="9" t="s">
        <v>114</v>
      </c>
      <c r="W577" s="9">
        <v>0</v>
      </c>
      <c r="X577" s="9">
        <v>0</v>
      </c>
      <c r="Y577" s="9">
        <v>0</v>
      </c>
      <c r="Z577" s="9">
        <v>0</v>
      </c>
      <c r="AA577" s="9">
        <v>8</v>
      </c>
      <c r="AB577" s="9">
        <v>6</v>
      </c>
      <c r="AC577" s="9">
        <v>14</v>
      </c>
      <c r="AD577" s="9" t="s">
        <v>0</v>
      </c>
      <c r="AE577" s="9" t="s">
        <v>60</v>
      </c>
    </row>
    <row r="578" spans="1:31" ht="38.25" x14ac:dyDescent="0.2">
      <c r="A578" s="6" t="str">
        <f>HYPERLINK("http://www.patentics.cn/invokexml.do?sx=showpatent_cn&amp;sf=ShowPatent&amp;spn=CN1710986&amp;sx=showpatent_cn&amp;sv=0a844a1dbbdeb1b64bb913126a566af5","CN1710986")</f>
        <v>CN1710986</v>
      </c>
      <c r="B578" s="7" t="s">
        <v>2853</v>
      </c>
      <c r="C578" s="7" t="s">
        <v>2854</v>
      </c>
      <c r="D578" s="7" t="s">
        <v>1383</v>
      </c>
      <c r="E578" s="7" t="s">
        <v>1383</v>
      </c>
      <c r="F578" s="7" t="s">
        <v>2855</v>
      </c>
      <c r="G578" s="7" t="s">
        <v>2856</v>
      </c>
      <c r="H578" s="7" t="s">
        <v>2857</v>
      </c>
      <c r="I578" s="7" t="s">
        <v>2857</v>
      </c>
      <c r="J578" s="7" t="s">
        <v>2858</v>
      </c>
      <c r="K578" s="7" t="s">
        <v>96</v>
      </c>
      <c r="L578" s="7" t="s">
        <v>1102</v>
      </c>
      <c r="M578" s="7">
        <v>2</v>
      </c>
      <c r="N578" s="7">
        <v>97</v>
      </c>
      <c r="O578" s="7" t="s">
        <v>42</v>
      </c>
      <c r="P578" s="7" t="s">
        <v>43</v>
      </c>
      <c r="Q578" s="7">
        <v>0</v>
      </c>
      <c r="R578" s="7">
        <v>0</v>
      </c>
      <c r="S578" s="7">
        <v>0</v>
      </c>
      <c r="T578" s="7">
        <v>0</v>
      </c>
      <c r="U578" s="7">
        <v>22</v>
      </c>
      <c r="V578" s="7" t="s">
        <v>2859</v>
      </c>
      <c r="W578" s="7">
        <v>0</v>
      </c>
      <c r="X578" s="7">
        <v>22</v>
      </c>
      <c r="Y578" s="7">
        <v>10</v>
      </c>
      <c r="Z578" s="7">
        <v>3</v>
      </c>
      <c r="AA578" s="7">
        <v>1</v>
      </c>
      <c r="AB578" s="7">
        <v>1</v>
      </c>
      <c r="AC578" s="7" t="s">
        <v>0</v>
      </c>
      <c r="AD578" s="7">
        <v>3</v>
      </c>
      <c r="AE578" s="7" t="s">
        <v>532</v>
      </c>
    </row>
    <row r="579" spans="1:31" ht="51" x14ac:dyDescent="0.2">
      <c r="A579" s="8" t="str">
        <f>HYPERLINK("http://www.patentics.cn/invokexml.do?sx=showpatent_cn&amp;sf=ShowPatent&amp;spn=CN101371606B&amp;sx=showpatent_cn&amp;sv=895f8fc6389c9a0b775478ea3dd685fb","CN101371606B")</f>
        <v>CN101371606B</v>
      </c>
      <c r="B579" s="9" t="s">
        <v>2860</v>
      </c>
      <c r="C579" s="9" t="s">
        <v>2861</v>
      </c>
      <c r="D579" s="9" t="s">
        <v>301</v>
      </c>
      <c r="E579" s="9" t="s">
        <v>301</v>
      </c>
      <c r="F579" s="9" t="s">
        <v>2862</v>
      </c>
      <c r="G579" s="9" t="s">
        <v>2863</v>
      </c>
      <c r="H579" s="9" t="s">
        <v>2864</v>
      </c>
      <c r="I579" s="9" t="s">
        <v>2865</v>
      </c>
      <c r="J579" s="9" t="s">
        <v>2866</v>
      </c>
      <c r="K579" s="9" t="s">
        <v>68</v>
      </c>
      <c r="L579" s="9" t="s">
        <v>245</v>
      </c>
      <c r="M579" s="9">
        <v>40</v>
      </c>
      <c r="N579" s="9">
        <v>16</v>
      </c>
      <c r="O579" s="9" t="s">
        <v>57</v>
      </c>
      <c r="P579" s="9" t="s">
        <v>58</v>
      </c>
      <c r="Q579" s="9">
        <v>3</v>
      </c>
      <c r="R579" s="9">
        <v>0</v>
      </c>
      <c r="S579" s="9">
        <v>3</v>
      </c>
      <c r="T579" s="9">
        <v>2</v>
      </c>
      <c r="U579" s="9">
        <v>0</v>
      </c>
      <c r="V579" s="9" t="s">
        <v>114</v>
      </c>
      <c r="W579" s="9">
        <v>0</v>
      </c>
      <c r="X579" s="9">
        <v>0</v>
      </c>
      <c r="Y579" s="9">
        <v>0</v>
      </c>
      <c r="Z579" s="9">
        <v>0</v>
      </c>
      <c r="AA579" s="9">
        <v>361</v>
      </c>
      <c r="AB579" s="9">
        <v>10</v>
      </c>
      <c r="AC579" s="9">
        <v>14</v>
      </c>
      <c r="AD579" s="9" t="s">
        <v>0</v>
      </c>
      <c r="AE579" s="9" t="s">
        <v>60</v>
      </c>
    </row>
    <row r="580" spans="1:31" ht="51" x14ac:dyDescent="0.2">
      <c r="A580" s="8" t="str">
        <f>HYPERLINK("http://www.patentics.cn/invokexml.do?sx=showpatent_cn&amp;sf=ShowPatent&amp;spn=CN101371612B&amp;sx=showpatent_cn&amp;sv=d9ef80a9c541c21a2079ade11671f588","CN101371612B")</f>
        <v>CN101371612B</v>
      </c>
      <c r="B580" s="9" t="s">
        <v>2867</v>
      </c>
      <c r="C580" s="9" t="s">
        <v>2861</v>
      </c>
      <c r="D580" s="9" t="s">
        <v>301</v>
      </c>
      <c r="E580" s="9" t="s">
        <v>301</v>
      </c>
      <c r="F580" s="9" t="s">
        <v>2862</v>
      </c>
      <c r="G580" s="9" t="s">
        <v>2863</v>
      </c>
      <c r="H580" s="9" t="s">
        <v>2864</v>
      </c>
      <c r="I580" s="9" t="s">
        <v>2865</v>
      </c>
      <c r="J580" s="9" t="s">
        <v>2868</v>
      </c>
      <c r="K580" s="9" t="s">
        <v>68</v>
      </c>
      <c r="L580" s="9" t="s">
        <v>245</v>
      </c>
      <c r="M580" s="9">
        <v>45</v>
      </c>
      <c r="N580" s="9">
        <v>15</v>
      </c>
      <c r="O580" s="9" t="s">
        <v>57</v>
      </c>
      <c r="P580" s="9" t="s">
        <v>58</v>
      </c>
      <c r="Q580" s="9">
        <v>2</v>
      </c>
      <c r="R580" s="9">
        <v>0</v>
      </c>
      <c r="S580" s="9">
        <v>2</v>
      </c>
      <c r="T580" s="9">
        <v>2</v>
      </c>
      <c r="U580" s="9">
        <v>0</v>
      </c>
      <c r="V580" s="9" t="s">
        <v>114</v>
      </c>
      <c r="W580" s="9">
        <v>0</v>
      </c>
      <c r="X580" s="9">
        <v>0</v>
      </c>
      <c r="Y580" s="9">
        <v>0</v>
      </c>
      <c r="Z580" s="9">
        <v>0</v>
      </c>
      <c r="AA580" s="9">
        <v>361</v>
      </c>
      <c r="AB580" s="9">
        <v>10</v>
      </c>
      <c r="AC580" s="9">
        <v>14</v>
      </c>
      <c r="AD580" s="9" t="s">
        <v>0</v>
      </c>
      <c r="AE580" s="9" t="s">
        <v>60</v>
      </c>
    </row>
    <row r="581" spans="1:31" ht="25.5" x14ac:dyDescent="0.2">
      <c r="A581" s="8" t="str">
        <f>HYPERLINK("http://www.patentics.cn/invokexml.do?sx=showpatent_cn&amp;sf=ShowPatent&amp;spn=CN102415163&amp;sx=showpatent_cn&amp;sv=9f7b988c17bcd352e550e2887af4b16a","CN102415163")</f>
        <v>CN102415163</v>
      </c>
      <c r="B581" s="9" t="s">
        <v>2869</v>
      </c>
      <c r="C581" s="9" t="s">
        <v>2870</v>
      </c>
      <c r="D581" s="9" t="s">
        <v>301</v>
      </c>
      <c r="E581" s="9" t="s">
        <v>301</v>
      </c>
      <c r="F581" s="9" t="s">
        <v>2871</v>
      </c>
      <c r="G581" s="9" t="s">
        <v>2871</v>
      </c>
      <c r="H581" s="9" t="s">
        <v>2872</v>
      </c>
      <c r="I581" s="9" t="s">
        <v>2873</v>
      </c>
      <c r="J581" s="9" t="s">
        <v>2874</v>
      </c>
      <c r="K581" s="9" t="s">
        <v>55</v>
      </c>
      <c r="L581" s="9" t="s">
        <v>2875</v>
      </c>
      <c r="M581" s="9">
        <v>26</v>
      </c>
      <c r="N581" s="9">
        <v>9</v>
      </c>
      <c r="O581" s="9" t="s">
        <v>42</v>
      </c>
      <c r="P581" s="9" t="s">
        <v>58</v>
      </c>
      <c r="Q581" s="9">
        <v>3</v>
      </c>
      <c r="R581" s="9">
        <v>0</v>
      </c>
      <c r="S581" s="9">
        <v>3</v>
      </c>
      <c r="T581" s="9">
        <v>3</v>
      </c>
      <c r="U581" s="9">
        <v>0</v>
      </c>
      <c r="V581" s="9" t="s">
        <v>114</v>
      </c>
      <c r="W581" s="9">
        <v>0</v>
      </c>
      <c r="X581" s="9">
        <v>0</v>
      </c>
      <c r="Y581" s="9">
        <v>0</v>
      </c>
      <c r="Z581" s="9">
        <v>0</v>
      </c>
      <c r="AA581" s="9">
        <v>11</v>
      </c>
      <c r="AB581" s="9">
        <v>7</v>
      </c>
      <c r="AC581" s="9">
        <v>14</v>
      </c>
      <c r="AD581" s="9" t="s">
        <v>0</v>
      </c>
      <c r="AE581" s="9" t="s">
        <v>60</v>
      </c>
    </row>
    <row r="582" spans="1:31" ht="25.5" x14ac:dyDescent="0.2">
      <c r="A582" s="6" t="str">
        <f>HYPERLINK("http://www.patentics.cn/invokexml.do?sx=showpatent_cn&amp;sf=ShowPatent&amp;spn=CN1665303&amp;sx=showpatent_cn&amp;sv=d639cc75ba447d5cc1a102ac46286515","CN1665303")</f>
        <v>CN1665303</v>
      </c>
      <c r="B582" s="7" t="s">
        <v>2876</v>
      </c>
      <c r="C582" s="7" t="s">
        <v>2877</v>
      </c>
      <c r="D582" s="7" t="s">
        <v>1383</v>
      </c>
      <c r="E582" s="7" t="s">
        <v>1383</v>
      </c>
      <c r="F582" s="7" t="s">
        <v>2878</v>
      </c>
      <c r="G582" s="7" t="s">
        <v>1385</v>
      </c>
      <c r="H582" s="7" t="s">
        <v>2879</v>
      </c>
      <c r="I582" s="7" t="s">
        <v>2879</v>
      </c>
      <c r="J582" s="7" t="s">
        <v>2880</v>
      </c>
      <c r="K582" s="7" t="s">
        <v>714</v>
      </c>
      <c r="L582" s="7" t="s">
        <v>1346</v>
      </c>
      <c r="M582" s="7">
        <v>5</v>
      </c>
      <c r="N582" s="7">
        <v>15</v>
      </c>
      <c r="O582" s="7" t="s">
        <v>42</v>
      </c>
      <c r="P582" s="7" t="s">
        <v>43</v>
      </c>
      <c r="Q582" s="7">
        <v>0</v>
      </c>
      <c r="R582" s="7">
        <v>0</v>
      </c>
      <c r="S582" s="7">
        <v>0</v>
      </c>
      <c r="T582" s="7">
        <v>0</v>
      </c>
      <c r="U582" s="7">
        <v>13</v>
      </c>
      <c r="V582" s="7" t="s">
        <v>2881</v>
      </c>
      <c r="W582" s="7">
        <v>1</v>
      </c>
      <c r="X582" s="7">
        <v>12</v>
      </c>
      <c r="Y582" s="7">
        <v>7</v>
      </c>
      <c r="Z582" s="7">
        <v>2</v>
      </c>
      <c r="AA582" s="7">
        <v>1</v>
      </c>
      <c r="AB582" s="7">
        <v>1</v>
      </c>
      <c r="AC582" s="7" t="s">
        <v>0</v>
      </c>
      <c r="AD582" s="7">
        <v>3</v>
      </c>
      <c r="AE582" s="7" t="s">
        <v>532</v>
      </c>
    </row>
    <row r="583" spans="1:31" ht="76.5" x14ac:dyDescent="0.2">
      <c r="A583" s="8" t="str">
        <f>HYPERLINK("http://www.patentics.cn/invokexml.do?sx=showpatent_cn&amp;sf=ShowPatent&amp;spn=US9392301&amp;sx=showpatent_cn&amp;sv=b0c4dfdaa2986cfda003fc9a667a231b","US9392301")</f>
        <v>US9392301</v>
      </c>
      <c r="B583" s="9" t="s">
        <v>2882</v>
      </c>
      <c r="C583" s="9" t="s">
        <v>2883</v>
      </c>
      <c r="D583" s="9" t="s">
        <v>48</v>
      </c>
      <c r="E583" s="9" t="s">
        <v>49</v>
      </c>
      <c r="F583" s="9" t="s">
        <v>2884</v>
      </c>
      <c r="G583" s="9" t="s">
        <v>2885</v>
      </c>
      <c r="H583" s="9" t="s">
        <v>2886</v>
      </c>
      <c r="I583" s="9" t="s">
        <v>2887</v>
      </c>
      <c r="J583" s="9" t="s">
        <v>980</v>
      </c>
      <c r="K583" s="9" t="s">
        <v>714</v>
      </c>
      <c r="L583" s="9" t="s">
        <v>1346</v>
      </c>
      <c r="M583" s="9">
        <v>24</v>
      </c>
      <c r="N583" s="9">
        <v>12</v>
      </c>
      <c r="O583" s="9" t="s">
        <v>57</v>
      </c>
      <c r="P583" s="9" t="s">
        <v>58</v>
      </c>
      <c r="Q583" s="9">
        <v>33</v>
      </c>
      <c r="R583" s="9">
        <v>6</v>
      </c>
      <c r="S583" s="9">
        <v>27</v>
      </c>
      <c r="T583" s="9">
        <v>18</v>
      </c>
      <c r="U583" s="9">
        <v>0</v>
      </c>
      <c r="V583" s="9" t="s">
        <v>114</v>
      </c>
      <c r="W583" s="9">
        <v>0</v>
      </c>
      <c r="X583" s="9">
        <v>0</v>
      </c>
      <c r="Y583" s="9">
        <v>0</v>
      </c>
      <c r="Z583" s="9">
        <v>0</v>
      </c>
      <c r="AA583" s="9">
        <v>9</v>
      </c>
      <c r="AB583" s="9">
        <v>6</v>
      </c>
      <c r="AC583" s="9">
        <v>14</v>
      </c>
      <c r="AD583" s="9" t="s">
        <v>0</v>
      </c>
      <c r="AE583" s="9" t="s">
        <v>60</v>
      </c>
    </row>
    <row r="584" spans="1:31" ht="38.25" x14ac:dyDescent="0.2">
      <c r="A584" s="8" t="str">
        <f>HYPERLINK("http://www.patentics.cn/invokexml.do?sx=showpatent_cn&amp;sf=ShowPatent&amp;spn=CN101682771B&amp;sx=showpatent_cn&amp;sv=6858edbb186962e11dde1c82cf3cbe69","CN101682771B")</f>
        <v>CN101682771B</v>
      </c>
      <c r="B584" s="9" t="s">
        <v>2888</v>
      </c>
      <c r="C584" s="9" t="s">
        <v>2889</v>
      </c>
      <c r="D584" s="9" t="s">
        <v>301</v>
      </c>
      <c r="E584" s="9" t="s">
        <v>301</v>
      </c>
      <c r="F584" s="9" t="s">
        <v>2890</v>
      </c>
      <c r="G584" s="9" t="s">
        <v>2891</v>
      </c>
      <c r="H584" s="9" t="s">
        <v>1395</v>
      </c>
      <c r="I584" s="9" t="s">
        <v>2623</v>
      </c>
      <c r="J584" s="9" t="s">
        <v>2892</v>
      </c>
      <c r="K584" s="9" t="s">
        <v>714</v>
      </c>
      <c r="L584" s="9" t="s">
        <v>1346</v>
      </c>
      <c r="M584" s="9">
        <v>45</v>
      </c>
      <c r="N584" s="9">
        <v>15</v>
      </c>
      <c r="O584" s="9" t="s">
        <v>57</v>
      </c>
      <c r="P584" s="9" t="s">
        <v>58</v>
      </c>
      <c r="Q584" s="9">
        <v>3</v>
      </c>
      <c r="R584" s="9">
        <v>0</v>
      </c>
      <c r="S584" s="9">
        <v>3</v>
      </c>
      <c r="T584" s="9">
        <v>2</v>
      </c>
      <c r="U584" s="9">
        <v>0</v>
      </c>
      <c r="V584" s="9" t="s">
        <v>114</v>
      </c>
      <c r="W584" s="9">
        <v>0</v>
      </c>
      <c r="X584" s="9">
        <v>0</v>
      </c>
      <c r="Y584" s="9">
        <v>0</v>
      </c>
      <c r="Z584" s="9">
        <v>0</v>
      </c>
      <c r="AA584" s="9">
        <v>76</v>
      </c>
      <c r="AB584" s="9">
        <v>13</v>
      </c>
      <c r="AC584" s="9">
        <v>14</v>
      </c>
      <c r="AD584" s="9" t="s">
        <v>0</v>
      </c>
      <c r="AE584" s="9" t="s">
        <v>60</v>
      </c>
    </row>
    <row r="585" spans="1:31" ht="76.5" x14ac:dyDescent="0.2">
      <c r="A585" s="8" t="str">
        <f>HYPERLINK("http://www.patentics.cn/invokexml.do?sx=showpatent_cn&amp;sf=ShowPatent&amp;spn=CN103636208B&amp;sx=showpatent_cn&amp;sv=83515a3cacea97d52e66792349f1e240","CN103636208B")</f>
        <v>CN103636208B</v>
      </c>
      <c r="B585" s="9" t="s">
        <v>2893</v>
      </c>
      <c r="C585" s="9" t="s">
        <v>2894</v>
      </c>
      <c r="D585" s="9" t="s">
        <v>301</v>
      </c>
      <c r="E585" s="9" t="s">
        <v>301</v>
      </c>
      <c r="F585" s="9" t="s">
        <v>2895</v>
      </c>
      <c r="G585" s="9" t="s">
        <v>2896</v>
      </c>
      <c r="H585" s="9" t="s">
        <v>2886</v>
      </c>
      <c r="I585" s="9" t="s">
        <v>2897</v>
      </c>
      <c r="J585" s="9" t="s">
        <v>1444</v>
      </c>
      <c r="K585" s="9" t="s">
        <v>714</v>
      </c>
      <c r="L585" s="9" t="s">
        <v>2898</v>
      </c>
      <c r="M585" s="9">
        <v>45</v>
      </c>
      <c r="N585" s="9">
        <v>16</v>
      </c>
      <c r="O585" s="9" t="s">
        <v>57</v>
      </c>
      <c r="P585" s="9" t="s">
        <v>58</v>
      </c>
      <c r="Q585" s="9">
        <v>3</v>
      </c>
      <c r="R585" s="9">
        <v>1</v>
      </c>
      <c r="S585" s="9">
        <v>2</v>
      </c>
      <c r="T585" s="9">
        <v>3</v>
      </c>
      <c r="U585" s="9">
        <v>0</v>
      </c>
      <c r="V585" s="9" t="s">
        <v>114</v>
      </c>
      <c r="W585" s="9">
        <v>0</v>
      </c>
      <c r="X585" s="9">
        <v>0</v>
      </c>
      <c r="Y585" s="9">
        <v>0</v>
      </c>
      <c r="Z585" s="9">
        <v>0</v>
      </c>
      <c r="AA585" s="9">
        <v>0</v>
      </c>
      <c r="AB585" s="9">
        <v>0</v>
      </c>
      <c r="AC585" s="9">
        <v>14</v>
      </c>
      <c r="AD585" s="9" t="s">
        <v>0</v>
      </c>
      <c r="AE585" s="9" t="s">
        <v>60</v>
      </c>
    </row>
    <row r="586" spans="1:31" ht="76.5" x14ac:dyDescent="0.2">
      <c r="A586" s="6" t="str">
        <f>HYPERLINK("http://www.patentics.cn/invokexml.do?sx=showpatent_cn&amp;sf=ShowPatent&amp;spn=CN1655630&amp;sx=showpatent_cn&amp;sv=aaef0eaabf4ba95cbb6972a1a3150f1c","CN1655630")</f>
        <v>CN1655630</v>
      </c>
      <c r="B586" s="7" t="s">
        <v>2899</v>
      </c>
      <c r="C586" s="7" t="s">
        <v>2900</v>
      </c>
      <c r="D586" s="7" t="s">
        <v>2901</v>
      </c>
      <c r="E586" s="7" t="s">
        <v>2902</v>
      </c>
      <c r="F586" s="7" t="s">
        <v>2903</v>
      </c>
      <c r="G586" s="7" t="s">
        <v>2904</v>
      </c>
      <c r="H586" s="7" t="s">
        <v>2905</v>
      </c>
      <c r="I586" s="7" t="s">
        <v>2906</v>
      </c>
      <c r="J586" s="7" t="s">
        <v>2907</v>
      </c>
      <c r="K586" s="7" t="s">
        <v>96</v>
      </c>
      <c r="L586" s="7" t="s">
        <v>2908</v>
      </c>
      <c r="M586" s="7">
        <v>41</v>
      </c>
      <c r="N586" s="7">
        <v>8</v>
      </c>
      <c r="O586" s="7" t="s">
        <v>42</v>
      </c>
      <c r="P586" s="7" t="s">
        <v>341</v>
      </c>
      <c r="Q586" s="7">
        <v>0</v>
      </c>
      <c r="R586" s="7">
        <v>0</v>
      </c>
      <c r="S586" s="7">
        <v>0</v>
      </c>
      <c r="T586" s="7">
        <v>0</v>
      </c>
      <c r="U586" s="7">
        <v>9</v>
      </c>
      <c r="V586" s="7" t="s">
        <v>2909</v>
      </c>
      <c r="W586" s="7">
        <v>0</v>
      </c>
      <c r="X586" s="7">
        <v>9</v>
      </c>
      <c r="Y586" s="7">
        <v>5</v>
      </c>
      <c r="Z586" s="7">
        <v>3</v>
      </c>
      <c r="AA586" s="7">
        <v>10</v>
      </c>
      <c r="AB586" s="7">
        <v>5</v>
      </c>
      <c r="AC586" s="7" t="s">
        <v>0</v>
      </c>
      <c r="AD586" s="7">
        <v>3</v>
      </c>
      <c r="AE586" s="7" t="s">
        <v>60</v>
      </c>
    </row>
    <row r="587" spans="1:31" ht="38.25" x14ac:dyDescent="0.2">
      <c r="A587" s="8" t="str">
        <f>HYPERLINK("http://www.patentics.cn/invokexml.do?sx=showpatent_cn&amp;sf=ShowPatent&amp;spn=US8743749&amp;sx=showpatent_cn&amp;sv=f9de5afb730880d76bdd9aaffab5ab80","US8743749")</f>
        <v>US8743749</v>
      </c>
      <c r="B587" s="9" t="s">
        <v>2910</v>
      </c>
      <c r="C587" s="9" t="s">
        <v>2911</v>
      </c>
      <c r="D587" s="9" t="s">
        <v>48</v>
      </c>
      <c r="E587" s="9" t="s">
        <v>49</v>
      </c>
      <c r="F587" s="9" t="s">
        <v>1957</v>
      </c>
      <c r="G587" s="9" t="s">
        <v>1958</v>
      </c>
      <c r="H587" s="9" t="s">
        <v>2912</v>
      </c>
      <c r="I587" s="9" t="s">
        <v>2913</v>
      </c>
      <c r="J587" s="9" t="s">
        <v>1261</v>
      </c>
      <c r="K587" s="9" t="s">
        <v>40</v>
      </c>
      <c r="L587" s="9" t="s">
        <v>224</v>
      </c>
      <c r="M587" s="9">
        <v>36</v>
      </c>
      <c r="N587" s="9">
        <v>9</v>
      </c>
      <c r="O587" s="9" t="s">
        <v>57</v>
      </c>
      <c r="P587" s="9" t="s">
        <v>58</v>
      </c>
      <c r="Q587" s="9">
        <v>14</v>
      </c>
      <c r="R587" s="9">
        <v>1</v>
      </c>
      <c r="S587" s="9">
        <v>13</v>
      </c>
      <c r="T587" s="9">
        <v>6</v>
      </c>
      <c r="U587" s="9">
        <v>0</v>
      </c>
      <c r="V587" s="9" t="s">
        <v>114</v>
      </c>
      <c r="W587" s="9">
        <v>0</v>
      </c>
      <c r="X587" s="9">
        <v>0</v>
      </c>
      <c r="Y587" s="9">
        <v>0</v>
      </c>
      <c r="Z587" s="9">
        <v>0</v>
      </c>
      <c r="AA587" s="9">
        <v>11</v>
      </c>
      <c r="AB587" s="9">
        <v>7</v>
      </c>
      <c r="AC587" s="9">
        <v>14</v>
      </c>
      <c r="AD587" s="9" t="s">
        <v>0</v>
      </c>
      <c r="AE587" s="9" t="s">
        <v>60</v>
      </c>
    </row>
    <row r="588" spans="1:31" ht="25.5" x14ac:dyDescent="0.2">
      <c r="A588" s="8" t="str">
        <f>HYPERLINK("http://www.patentics.cn/invokexml.do?sx=showpatent_cn&amp;sf=ShowPatent&amp;spn=CN102474869B&amp;sx=showpatent_cn&amp;sv=1375443d03ae7ba3aed73a48cf5f03c6","CN102474869B")</f>
        <v>CN102474869B</v>
      </c>
      <c r="B588" s="9" t="s">
        <v>2914</v>
      </c>
      <c r="C588" s="9" t="s">
        <v>2915</v>
      </c>
      <c r="D588" s="9" t="s">
        <v>301</v>
      </c>
      <c r="E588" s="9" t="s">
        <v>301</v>
      </c>
      <c r="F588" s="9" t="s">
        <v>2916</v>
      </c>
      <c r="G588" s="9" t="s">
        <v>2917</v>
      </c>
      <c r="H588" s="9" t="s">
        <v>2912</v>
      </c>
      <c r="I588" s="9" t="s">
        <v>2918</v>
      </c>
      <c r="J588" s="9" t="s">
        <v>2919</v>
      </c>
      <c r="K588" s="9" t="s">
        <v>55</v>
      </c>
      <c r="L588" s="9" t="s">
        <v>272</v>
      </c>
      <c r="M588" s="9">
        <v>27</v>
      </c>
      <c r="N588" s="9">
        <v>10</v>
      </c>
      <c r="O588" s="9" t="s">
        <v>57</v>
      </c>
      <c r="P588" s="9" t="s">
        <v>58</v>
      </c>
      <c r="Q588" s="9">
        <v>3</v>
      </c>
      <c r="R588" s="9">
        <v>0</v>
      </c>
      <c r="S588" s="9">
        <v>3</v>
      </c>
      <c r="T588" s="9">
        <v>3</v>
      </c>
      <c r="U588" s="9">
        <v>0</v>
      </c>
      <c r="V588" s="9" t="s">
        <v>114</v>
      </c>
      <c r="W588" s="9">
        <v>0</v>
      </c>
      <c r="X588" s="9">
        <v>0</v>
      </c>
      <c r="Y588" s="9">
        <v>0</v>
      </c>
      <c r="Z588" s="9">
        <v>0</v>
      </c>
      <c r="AA588" s="9">
        <v>11</v>
      </c>
      <c r="AB588" s="9">
        <v>7</v>
      </c>
      <c r="AC588" s="9">
        <v>14</v>
      </c>
      <c r="AD588" s="9" t="s">
        <v>0</v>
      </c>
      <c r="AE588" s="9" t="s">
        <v>60</v>
      </c>
    </row>
    <row r="589" spans="1:31" ht="25.5" x14ac:dyDescent="0.2">
      <c r="A589" s="8" t="str">
        <f>HYPERLINK("http://www.patentics.cn/invokexml.do?sx=showpatent_cn&amp;sf=ShowPatent&amp;spn=CN102474869&amp;sx=showpatent_cn&amp;sv=e2de17cb258a63a3c97268ee6000c8b3","CN102474869")</f>
        <v>CN102474869</v>
      </c>
      <c r="B589" s="9" t="s">
        <v>2914</v>
      </c>
      <c r="C589" s="9" t="s">
        <v>2915</v>
      </c>
      <c r="D589" s="9" t="s">
        <v>301</v>
      </c>
      <c r="E589" s="9" t="s">
        <v>301</v>
      </c>
      <c r="F589" s="9" t="s">
        <v>2916</v>
      </c>
      <c r="G589" s="9" t="s">
        <v>2917</v>
      </c>
      <c r="H589" s="9" t="s">
        <v>2912</v>
      </c>
      <c r="I589" s="9" t="s">
        <v>2918</v>
      </c>
      <c r="J589" s="9" t="s">
        <v>429</v>
      </c>
      <c r="K589" s="9" t="s">
        <v>55</v>
      </c>
      <c r="L589" s="9" t="s">
        <v>272</v>
      </c>
      <c r="M589" s="9">
        <v>40</v>
      </c>
      <c r="N589" s="9">
        <v>7</v>
      </c>
      <c r="O589" s="9" t="s">
        <v>42</v>
      </c>
      <c r="P589" s="9" t="s">
        <v>58</v>
      </c>
      <c r="Q589" s="9">
        <v>3</v>
      </c>
      <c r="R589" s="9">
        <v>0</v>
      </c>
      <c r="S589" s="9">
        <v>3</v>
      </c>
      <c r="T589" s="9">
        <v>3</v>
      </c>
      <c r="U589" s="9">
        <v>0</v>
      </c>
      <c r="V589" s="9" t="s">
        <v>114</v>
      </c>
      <c r="W589" s="9">
        <v>0</v>
      </c>
      <c r="X589" s="9">
        <v>0</v>
      </c>
      <c r="Y589" s="9">
        <v>0</v>
      </c>
      <c r="Z589" s="9">
        <v>0</v>
      </c>
      <c r="AA589" s="9">
        <v>11</v>
      </c>
      <c r="AB589" s="9">
        <v>7</v>
      </c>
      <c r="AC589" s="9">
        <v>14</v>
      </c>
      <c r="AD589" s="9" t="s">
        <v>0</v>
      </c>
      <c r="AE589" s="9" t="s">
        <v>60</v>
      </c>
    </row>
    <row r="590" spans="1:31" ht="25.5" x14ac:dyDescent="0.2">
      <c r="A590" s="6" t="str">
        <f>HYPERLINK("http://www.patentics.cn/invokexml.do?sx=showpatent_cn&amp;sf=ShowPatent&amp;spn=CN1645766&amp;sx=showpatent_cn&amp;sv=5c40ab2684be2fcb92abcbc89e21f57e","CN1645766")</f>
        <v>CN1645766</v>
      </c>
      <c r="B590" s="7" t="s">
        <v>2920</v>
      </c>
      <c r="C590" s="7" t="s">
        <v>2921</v>
      </c>
      <c r="D590" s="7" t="s">
        <v>1420</v>
      </c>
      <c r="E590" s="7" t="s">
        <v>1420</v>
      </c>
      <c r="F590" s="7" t="s">
        <v>2922</v>
      </c>
      <c r="G590" s="7" t="s">
        <v>2923</v>
      </c>
      <c r="H590" s="7" t="s">
        <v>2924</v>
      </c>
      <c r="I590" s="7" t="s">
        <v>2924</v>
      </c>
      <c r="J590" s="7" t="s">
        <v>2925</v>
      </c>
      <c r="K590" s="7" t="s">
        <v>89</v>
      </c>
      <c r="L590" s="7" t="s">
        <v>2702</v>
      </c>
      <c r="M590" s="7">
        <v>9</v>
      </c>
      <c r="N590" s="7">
        <v>20</v>
      </c>
      <c r="O590" s="7" t="s">
        <v>42</v>
      </c>
      <c r="P590" s="7" t="s">
        <v>43</v>
      </c>
      <c r="Q590" s="7">
        <v>0</v>
      </c>
      <c r="R590" s="7">
        <v>0</v>
      </c>
      <c r="S590" s="7">
        <v>0</v>
      </c>
      <c r="T590" s="7">
        <v>0</v>
      </c>
      <c r="U590" s="7">
        <v>23</v>
      </c>
      <c r="V590" s="7" t="s">
        <v>2926</v>
      </c>
      <c r="W590" s="7">
        <v>0</v>
      </c>
      <c r="X590" s="7">
        <v>23</v>
      </c>
      <c r="Y590" s="7">
        <v>11</v>
      </c>
      <c r="Z590" s="7">
        <v>3</v>
      </c>
      <c r="AA590" s="7">
        <v>1</v>
      </c>
      <c r="AB590" s="7">
        <v>1</v>
      </c>
      <c r="AC590" s="7" t="s">
        <v>0</v>
      </c>
      <c r="AD590" s="7">
        <v>3</v>
      </c>
      <c r="AE590" s="7" t="s">
        <v>532</v>
      </c>
    </row>
    <row r="591" spans="1:31" ht="89.25" x14ac:dyDescent="0.2">
      <c r="A591" s="8" t="str">
        <f>HYPERLINK("http://www.patentics.cn/invokexml.do?sx=showpatent_cn&amp;sf=ShowPatent&amp;spn=US8780885&amp;sx=showpatent_cn&amp;sv=f119fd11958c75634f335025e69a654a","US8780885")</f>
        <v>US8780885</v>
      </c>
      <c r="B591" s="9" t="s">
        <v>2927</v>
      </c>
      <c r="C591" s="9" t="s">
        <v>2928</v>
      </c>
      <c r="D591" s="9" t="s">
        <v>48</v>
      </c>
      <c r="E591" s="9" t="s">
        <v>49</v>
      </c>
      <c r="F591" s="9" t="s">
        <v>2929</v>
      </c>
      <c r="G591" s="9" t="s">
        <v>2930</v>
      </c>
      <c r="H591" s="9" t="s">
        <v>2552</v>
      </c>
      <c r="I591" s="9" t="s">
        <v>2552</v>
      </c>
      <c r="J591" s="9" t="s">
        <v>2931</v>
      </c>
      <c r="K591" s="9" t="s">
        <v>40</v>
      </c>
      <c r="L591" s="9" t="s">
        <v>1128</v>
      </c>
      <c r="M591" s="9">
        <v>26</v>
      </c>
      <c r="N591" s="9">
        <v>6</v>
      </c>
      <c r="O591" s="9" t="s">
        <v>57</v>
      </c>
      <c r="P591" s="9" t="s">
        <v>58</v>
      </c>
      <c r="Q591" s="9">
        <v>40</v>
      </c>
      <c r="R591" s="9">
        <v>2</v>
      </c>
      <c r="S591" s="9">
        <v>38</v>
      </c>
      <c r="T591" s="9">
        <v>26</v>
      </c>
      <c r="U591" s="9">
        <v>0</v>
      </c>
      <c r="V591" s="9" t="s">
        <v>114</v>
      </c>
      <c r="W591" s="9">
        <v>0</v>
      </c>
      <c r="X591" s="9">
        <v>0</v>
      </c>
      <c r="Y591" s="9">
        <v>0</v>
      </c>
      <c r="Z591" s="9">
        <v>0</v>
      </c>
      <c r="AA591" s="9">
        <v>10</v>
      </c>
      <c r="AB591" s="9">
        <v>7</v>
      </c>
      <c r="AC591" s="9">
        <v>14</v>
      </c>
      <c r="AD591" s="9" t="s">
        <v>0</v>
      </c>
      <c r="AE591" s="9" t="s">
        <v>60</v>
      </c>
    </row>
    <row r="592" spans="1:31" ht="89.25" x14ac:dyDescent="0.2">
      <c r="A592" s="8" t="str">
        <f>HYPERLINK("http://www.patentics.cn/invokexml.do?sx=showpatent_cn&amp;sf=ShowPatent&amp;spn=US8811372&amp;sx=showpatent_cn&amp;sv=e964fdca87def3745bc65b1448cdf4b1","US8811372")</f>
        <v>US8811372</v>
      </c>
      <c r="B592" s="9" t="s">
        <v>2932</v>
      </c>
      <c r="C592" s="9" t="s">
        <v>2928</v>
      </c>
      <c r="D592" s="9" t="s">
        <v>48</v>
      </c>
      <c r="E592" s="9" t="s">
        <v>49</v>
      </c>
      <c r="F592" s="9" t="s">
        <v>2933</v>
      </c>
      <c r="G592" s="9" t="s">
        <v>2930</v>
      </c>
      <c r="H592" s="9" t="s">
        <v>2552</v>
      </c>
      <c r="I592" s="9" t="s">
        <v>2552</v>
      </c>
      <c r="J592" s="9" t="s">
        <v>946</v>
      </c>
      <c r="K592" s="9" t="s">
        <v>40</v>
      </c>
      <c r="L592" s="9" t="s">
        <v>1128</v>
      </c>
      <c r="M592" s="9">
        <v>27</v>
      </c>
      <c r="N592" s="9">
        <v>20</v>
      </c>
      <c r="O592" s="9" t="s">
        <v>57</v>
      </c>
      <c r="P592" s="9" t="s">
        <v>58</v>
      </c>
      <c r="Q592" s="9">
        <v>43</v>
      </c>
      <c r="R592" s="9">
        <v>2</v>
      </c>
      <c r="S592" s="9">
        <v>41</v>
      </c>
      <c r="T592" s="9">
        <v>26</v>
      </c>
      <c r="U592" s="9">
        <v>2</v>
      </c>
      <c r="V592" s="9" t="s">
        <v>131</v>
      </c>
      <c r="W592" s="9">
        <v>0</v>
      </c>
      <c r="X592" s="9">
        <v>2</v>
      </c>
      <c r="Y592" s="9">
        <v>1</v>
      </c>
      <c r="Z592" s="9">
        <v>1</v>
      </c>
      <c r="AA592" s="9">
        <v>10</v>
      </c>
      <c r="AB592" s="9">
        <v>7</v>
      </c>
      <c r="AC592" s="9">
        <v>14</v>
      </c>
      <c r="AD592" s="9" t="s">
        <v>0</v>
      </c>
      <c r="AE592" s="9" t="s">
        <v>60</v>
      </c>
    </row>
    <row r="593" spans="1:31" ht="51" x14ac:dyDescent="0.2">
      <c r="A593" s="8" t="str">
        <f>HYPERLINK("http://www.patentics.cn/invokexml.do?sx=showpatent_cn&amp;sf=ShowPatent&amp;spn=CN101690354B&amp;sx=showpatent_cn&amp;sv=d34ef3739f93667d1edc2f7938eaacbe","CN101690354B")</f>
        <v>CN101690354B</v>
      </c>
      <c r="B593" s="9" t="s">
        <v>2934</v>
      </c>
      <c r="C593" s="9" t="s">
        <v>2935</v>
      </c>
      <c r="D593" s="9" t="s">
        <v>301</v>
      </c>
      <c r="E593" s="9" t="s">
        <v>301</v>
      </c>
      <c r="F593" s="9" t="s">
        <v>2936</v>
      </c>
      <c r="G593" s="9" t="s">
        <v>2937</v>
      </c>
      <c r="H593" s="9" t="s">
        <v>2552</v>
      </c>
      <c r="I593" s="9" t="s">
        <v>2938</v>
      </c>
      <c r="J593" s="9" t="s">
        <v>2939</v>
      </c>
      <c r="K593" s="9" t="s">
        <v>55</v>
      </c>
      <c r="L593" s="9" t="s">
        <v>2940</v>
      </c>
      <c r="M593" s="9">
        <v>19</v>
      </c>
      <c r="N593" s="9">
        <v>15</v>
      </c>
      <c r="O593" s="9" t="s">
        <v>57</v>
      </c>
      <c r="P593" s="9" t="s">
        <v>58</v>
      </c>
      <c r="Q593" s="9">
        <v>3</v>
      </c>
      <c r="R593" s="9">
        <v>0</v>
      </c>
      <c r="S593" s="9">
        <v>3</v>
      </c>
      <c r="T593" s="9">
        <v>3</v>
      </c>
      <c r="U593" s="9">
        <v>0</v>
      </c>
      <c r="V593" s="9" t="s">
        <v>114</v>
      </c>
      <c r="W593" s="9">
        <v>0</v>
      </c>
      <c r="X593" s="9">
        <v>0</v>
      </c>
      <c r="Y593" s="9">
        <v>0</v>
      </c>
      <c r="Z593" s="9">
        <v>0</v>
      </c>
      <c r="AA593" s="9">
        <v>10</v>
      </c>
      <c r="AB593" s="9">
        <v>7</v>
      </c>
      <c r="AC593" s="9">
        <v>14</v>
      </c>
      <c r="AD593" s="9" t="s">
        <v>0</v>
      </c>
      <c r="AE593" s="9" t="s">
        <v>60</v>
      </c>
    </row>
    <row r="594" spans="1:31" ht="25.5" x14ac:dyDescent="0.2">
      <c r="A594" s="6" t="str">
        <f>HYPERLINK("http://www.patentics.cn/invokexml.do?sx=showpatent_cn&amp;sf=ShowPatent&amp;spn=CN1633065&amp;sx=showpatent_cn&amp;sv=7ff5a28e3a6f5ce9f09ad4c05016be8e","CN1633065")</f>
        <v>CN1633065</v>
      </c>
      <c r="B594" s="7" t="s">
        <v>2941</v>
      </c>
      <c r="C594" s="7" t="s">
        <v>2942</v>
      </c>
      <c r="D594" s="7" t="s">
        <v>2943</v>
      </c>
      <c r="E594" s="7" t="s">
        <v>2943</v>
      </c>
      <c r="F594" s="7" t="s">
        <v>2944</v>
      </c>
      <c r="G594" s="7" t="s">
        <v>2944</v>
      </c>
      <c r="H594" s="7" t="s">
        <v>2945</v>
      </c>
      <c r="I594" s="7" t="s">
        <v>2945</v>
      </c>
      <c r="J594" s="7" t="s">
        <v>2946</v>
      </c>
      <c r="K594" s="7" t="s">
        <v>68</v>
      </c>
      <c r="L594" s="7" t="s">
        <v>2947</v>
      </c>
      <c r="M594" s="7">
        <v>14</v>
      </c>
      <c r="N594" s="7">
        <v>48</v>
      </c>
      <c r="O594" s="7" t="s">
        <v>42</v>
      </c>
      <c r="P594" s="7" t="s">
        <v>43</v>
      </c>
      <c r="Q594" s="7">
        <v>0</v>
      </c>
      <c r="R594" s="7">
        <v>0</v>
      </c>
      <c r="S594" s="7">
        <v>0</v>
      </c>
      <c r="T594" s="7">
        <v>0</v>
      </c>
      <c r="U594" s="7">
        <v>9</v>
      </c>
      <c r="V594" s="7" t="s">
        <v>2948</v>
      </c>
      <c r="W594" s="7">
        <v>1</v>
      </c>
      <c r="X594" s="7">
        <v>8</v>
      </c>
      <c r="Y594" s="7">
        <v>6</v>
      </c>
      <c r="Z594" s="7">
        <v>2</v>
      </c>
      <c r="AA594" s="7">
        <v>1</v>
      </c>
      <c r="AB594" s="7">
        <v>1</v>
      </c>
      <c r="AC594" s="7" t="s">
        <v>0</v>
      </c>
      <c r="AD594" s="7">
        <v>3</v>
      </c>
      <c r="AE594" s="7" t="s">
        <v>532</v>
      </c>
    </row>
    <row r="595" spans="1:31" ht="38.25" x14ac:dyDescent="0.2">
      <c r="A595" s="8" t="str">
        <f>HYPERLINK("http://www.patentics.cn/invokexml.do?sx=showpatent_cn&amp;sf=ShowPatent&amp;spn=US8788809&amp;sx=showpatent_cn&amp;sv=0544c14c8fe7feb5d0728fe10cea304f","US8788809")</f>
        <v>US8788809</v>
      </c>
      <c r="B595" s="9" t="s">
        <v>2949</v>
      </c>
      <c r="C595" s="9" t="s">
        <v>2950</v>
      </c>
      <c r="D595" s="9" t="s">
        <v>48</v>
      </c>
      <c r="E595" s="9" t="s">
        <v>49</v>
      </c>
      <c r="F595" s="9" t="s">
        <v>2951</v>
      </c>
      <c r="G595" s="9" t="s">
        <v>2951</v>
      </c>
      <c r="H595" s="9" t="s">
        <v>2952</v>
      </c>
      <c r="I595" s="9" t="s">
        <v>2952</v>
      </c>
      <c r="J595" s="9" t="s">
        <v>141</v>
      </c>
      <c r="K595" s="9" t="s">
        <v>68</v>
      </c>
      <c r="L595" s="9" t="s">
        <v>2953</v>
      </c>
      <c r="M595" s="9">
        <v>56</v>
      </c>
      <c r="N595" s="9">
        <v>13</v>
      </c>
      <c r="O595" s="9" t="s">
        <v>57</v>
      </c>
      <c r="P595" s="9" t="s">
        <v>58</v>
      </c>
      <c r="Q595" s="9">
        <v>18</v>
      </c>
      <c r="R595" s="9">
        <v>0</v>
      </c>
      <c r="S595" s="9">
        <v>18</v>
      </c>
      <c r="T595" s="9">
        <v>15</v>
      </c>
      <c r="U595" s="9">
        <v>0</v>
      </c>
      <c r="V595" s="9" t="s">
        <v>114</v>
      </c>
      <c r="W595" s="9">
        <v>0</v>
      </c>
      <c r="X595" s="9">
        <v>0</v>
      </c>
      <c r="Y595" s="9">
        <v>0</v>
      </c>
      <c r="Z595" s="9">
        <v>0</v>
      </c>
      <c r="AA595" s="9">
        <v>8</v>
      </c>
      <c r="AB595" s="9">
        <v>6</v>
      </c>
      <c r="AC595" s="9">
        <v>14</v>
      </c>
      <c r="AD595" s="9" t="s">
        <v>0</v>
      </c>
      <c r="AE595" s="9" t="s">
        <v>60</v>
      </c>
    </row>
    <row r="596" spans="1:31" ht="25.5" x14ac:dyDescent="0.2">
      <c r="A596" s="8" t="str">
        <f>HYPERLINK("http://www.patentics.cn/invokexml.do?sx=showpatent_cn&amp;sf=ShowPatent&amp;spn=CN102414690B&amp;sx=showpatent_cn&amp;sv=a775e6e49943524f714b8ae1cabb5fe1","CN102414690B")</f>
        <v>CN102414690B</v>
      </c>
      <c r="B596" s="9" t="s">
        <v>2954</v>
      </c>
      <c r="C596" s="9" t="s">
        <v>2955</v>
      </c>
      <c r="D596" s="9" t="s">
        <v>301</v>
      </c>
      <c r="E596" s="9" t="s">
        <v>301</v>
      </c>
      <c r="F596" s="9" t="s">
        <v>2956</v>
      </c>
      <c r="G596" s="9" t="s">
        <v>2956</v>
      </c>
      <c r="H596" s="9" t="s">
        <v>2952</v>
      </c>
      <c r="I596" s="9" t="s">
        <v>2957</v>
      </c>
      <c r="J596" s="9" t="s">
        <v>1824</v>
      </c>
      <c r="K596" s="9" t="s">
        <v>885</v>
      </c>
      <c r="L596" s="9" t="s">
        <v>2958</v>
      </c>
      <c r="M596" s="9">
        <v>28</v>
      </c>
      <c r="N596" s="9">
        <v>22</v>
      </c>
      <c r="O596" s="9" t="s">
        <v>57</v>
      </c>
      <c r="P596" s="9" t="s">
        <v>58</v>
      </c>
      <c r="Q596" s="9">
        <v>5</v>
      </c>
      <c r="R596" s="9">
        <v>0</v>
      </c>
      <c r="S596" s="9">
        <v>5</v>
      </c>
      <c r="T596" s="9">
        <v>5</v>
      </c>
      <c r="U596" s="9">
        <v>0</v>
      </c>
      <c r="V596" s="9" t="s">
        <v>114</v>
      </c>
      <c r="W596" s="9">
        <v>0</v>
      </c>
      <c r="X596" s="9">
        <v>0</v>
      </c>
      <c r="Y596" s="9">
        <v>0</v>
      </c>
      <c r="Z596" s="9">
        <v>0</v>
      </c>
      <c r="AA596" s="9">
        <v>0</v>
      </c>
      <c r="AB596" s="9">
        <v>0</v>
      </c>
      <c r="AC596" s="9">
        <v>14</v>
      </c>
      <c r="AD596" s="9" t="s">
        <v>0</v>
      </c>
      <c r="AE596" s="9" t="s">
        <v>60</v>
      </c>
    </row>
    <row r="597" spans="1:31" ht="25.5" x14ac:dyDescent="0.2">
      <c r="A597" s="8" t="str">
        <f>HYPERLINK("http://www.patentics.cn/invokexml.do?sx=showpatent_cn&amp;sf=ShowPatent&amp;spn=CN102414690&amp;sx=showpatent_cn&amp;sv=9487b5281ade50a585b6c694e5c0d1d6","CN102414690")</f>
        <v>CN102414690</v>
      </c>
      <c r="B597" s="9" t="s">
        <v>2954</v>
      </c>
      <c r="C597" s="9" t="s">
        <v>2955</v>
      </c>
      <c r="D597" s="9" t="s">
        <v>301</v>
      </c>
      <c r="E597" s="9" t="s">
        <v>301</v>
      </c>
      <c r="F597" s="9" t="s">
        <v>2956</v>
      </c>
      <c r="G597" s="9" t="s">
        <v>2956</v>
      </c>
      <c r="H597" s="9" t="s">
        <v>2952</v>
      </c>
      <c r="I597" s="9" t="s">
        <v>2957</v>
      </c>
      <c r="J597" s="9" t="s">
        <v>2874</v>
      </c>
      <c r="K597" s="9" t="s">
        <v>885</v>
      </c>
      <c r="L597" s="9" t="s">
        <v>2959</v>
      </c>
      <c r="M597" s="9">
        <v>63</v>
      </c>
      <c r="N597" s="9">
        <v>16</v>
      </c>
      <c r="O597" s="9" t="s">
        <v>42</v>
      </c>
      <c r="P597" s="9" t="s">
        <v>58</v>
      </c>
      <c r="Q597" s="9">
        <v>6</v>
      </c>
      <c r="R597" s="9">
        <v>0</v>
      </c>
      <c r="S597" s="9">
        <v>6</v>
      </c>
      <c r="T597" s="9">
        <v>6</v>
      </c>
      <c r="U597" s="9">
        <v>3</v>
      </c>
      <c r="V597" s="9" t="s">
        <v>2960</v>
      </c>
      <c r="W597" s="9">
        <v>0</v>
      </c>
      <c r="X597" s="9">
        <v>3</v>
      </c>
      <c r="Y597" s="9">
        <v>2</v>
      </c>
      <c r="Z597" s="9">
        <v>2</v>
      </c>
      <c r="AA597" s="9">
        <v>8</v>
      </c>
      <c r="AB597" s="9">
        <v>6</v>
      </c>
      <c r="AC597" s="9">
        <v>14</v>
      </c>
      <c r="AD597" s="9" t="s">
        <v>0</v>
      </c>
      <c r="AE597" s="9" t="s">
        <v>60</v>
      </c>
    </row>
    <row r="598" spans="1:31" ht="38.25" x14ac:dyDescent="0.2">
      <c r="A598" s="6" t="str">
        <f>HYPERLINK("http://www.patentics.cn/invokexml.do?sx=showpatent_cn&amp;sf=ShowPatent&amp;spn=CN1596023&amp;sx=showpatent_cn&amp;sv=d472b60b9eece6bd11463b22f5efa7db","CN1596023")</f>
        <v>CN1596023</v>
      </c>
      <c r="B598" s="7" t="s">
        <v>2961</v>
      </c>
      <c r="C598" s="7" t="s">
        <v>2962</v>
      </c>
      <c r="D598" s="7" t="s">
        <v>932</v>
      </c>
      <c r="E598" s="7" t="s">
        <v>932</v>
      </c>
      <c r="F598" s="7" t="s">
        <v>2963</v>
      </c>
      <c r="G598" s="7" t="s">
        <v>2964</v>
      </c>
      <c r="H598" s="7" t="s">
        <v>2965</v>
      </c>
      <c r="I598" s="7" t="s">
        <v>2965</v>
      </c>
      <c r="J598" s="7" t="s">
        <v>52</v>
      </c>
      <c r="K598" s="7" t="s">
        <v>96</v>
      </c>
      <c r="L598" s="7" t="s">
        <v>1102</v>
      </c>
      <c r="M598" s="7">
        <v>7</v>
      </c>
      <c r="N598" s="7">
        <v>23</v>
      </c>
      <c r="O598" s="7" t="s">
        <v>42</v>
      </c>
      <c r="P598" s="7" t="s">
        <v>43</v>
      </c>
      <c r="Q598" s="7">
        <v>0</v>
      </c>
      <c r="R598" s="7">
        <v>0</v>
      </c>
      <c r="S598" s="7">
        <v>0</v>
      </c>
      <c r="T598" s="7">
        <v>0</v>
      </c>
      <c r="U598" s="7">
        <v>25</v>
      </c>
      <c r="V598" s="7" t="s">
        <v>2966</v>
      </c>
      <c r="W598" s="7">
        <v>0</v>
      </c>
      <c r="X598" s="7">
        <v>25</v>
      </c>
      <c r="Y598" s="7">
        <v>9</v>
      </c>
      <c r="Z598" s="7">
        <v>3</v>
      </c>
      <c r="AA598" s="7">
        <v>1</v>
      </c>
      <c r="AB598" s="7">
        <v>1</v>
      </c>
      <c r="AC598" s="7" t="s">
        <v>0</v>
      </c>
      <c r="AD598" s="7">
        <v>3</v>
      </c>
      <c r="AE598" s="7" t="s">
        <v>532</v>
      </c>
    </row>
    <row r="599" spans="1:31" ht="63.75" x14ac:dyDescent="0.2">
      <c r="A599" s="8" t="str">
        <f>HYPERLINK("http://www.patentics.cn/invokexml.do?sx=showpatent_cn&amp;sf=ShowPatent&amp;spn=US8532663&amp;sx=showpatent_cn&amp;sv=ee5f6ff72be7d01cfdac8e99942111fa","US8532663")</f>
        <v>US8532663</v>
      </c>
      <c r="B599" s="9" t="s">
        <v>2967</v>
      </c>
      <c r="C599" s="9" t="s">
        <v>2968</v>
      </c>
      <c r="D599" s="9" t="s">
        <v>48</v>
      </c>
      <c r="E599" s="9" t="s">
        <v>49</v>
      </c>
      <c r="F599" s="9" t="s">
        <v>2969</v>
      </c>
      <c r="G599" s="9" t="s">
        <v>2970</v>
      </c>
      <c r="H599" s="9" t="s">
        <v>2046</v>
      </c>
      <c r="I599" s="9" t="s">
        <v>2046</v>
      </c>
      <c r="J599" s="9" t="s">
        <v>2708</v>
      </c>
      <c r="K599" s="9" t="s">
        <v>229</v>
      </c>
      <c r="L599" s="9" t="s">
        <v>2971</v>
      </c>
      <c r="M599" s="9">
        <v>21</v>
      </c>
      <c r="N599" s="9">
        <v>12</v>
      </c>
      <c r="O599" s="9" t="s">
        <v>57</v>
      </c>
      <c r="P599" s="9" t="s">
        <v>58</v>
      </c>
      <c r="Q599" s="9">
        <v>9</v>
      </c>
      <c r="R599" s="9">
        <v>1</v>
      </c>
      <c r="S599" s="9">
        <v>8</v>
      </c>
      <c r="T599" s="9">
        <v>9</v>
      </c>
      <c r="U599" s="9">
        <v>0</v>
      </c>
      <c r="V599" s="9" t="s">
        <v>114</v>
      </c>
      <c r="W599" s="9">
        <v>0</v>
      </c>
      <c r="X599" s="9">
        <v>0</v>
      </c>
      <c r="Y599" s="9">
        <v>0</v>
      </c>
      <c r="Z599" s="9">
        <v>0</v>
      </c>
      <c r="AA599" s="9">
        <v>10</v>
      </c>
      <c r="AB599" s="9">
        <v>7</v>
      </c>
      <c r="AC599" s="9">
        <v>14</v>
      </c>
      <c r="AD599" s="9" t="s">
        <v>0</v>
      </c>
      <c r="AE599" s="9" t="s">
        <v>60</v>
      </c>
    </row>
    <row r="600" spans="1:31" ht="25.5" x14ac:dyDescent="0.2">
      <c r="A600" s="8" t="str">
        <f>HYPERLINK("http://www.patentics.cn/invokexml.do?sx=showpatent_cn&amp;sf=ShowPatent&amp;spn=US8830950&amp;sx=showpatent_cn&amp;sv=0e941beb963315eef0411f856b6c9202","US8830950")</f>
        <v>US8830950</v>
      </c>
      <c r="B600" s="9" t="s">
        <v>2972</v>
      </c>
      <c r="C600" s="9" t="s">
        <v>2973</v>
      </c>
      <c r="D600" s="9" t="s">
        <v>48</v>
      </c>
      <c r="E600" s="9" t="s">
        <v>49</v>
      </c>
      <c r="F600" s="9" t="s">
        <v>2974</v>
      </c>
      <c r="G600" s="9" t="s">
        <v>2974</v>
      </c>
      <c r="H600" s="9" t="s">
        <v>2975</v>
      </c>
      <c r="I600" s="9" t="s">
        <v>2976</v>
      </c>
      <c r="J600" s="9" t="s">
        <v>149</v>
      </c>
      <c r="K600" s="9" t="s">
        <v>68</v>
      </c>
      <c r="L600" s="9" t="s">
        <v>245</v>
      </c>
      <c r="M600" s="9">
        <v>82</v>
      </c>
      <c r="N600" s="9">
        <v>12</v>
      </c>
      <c r="O600" s="9" t="s">
        <v>57</v>
      </c>
      <c r="P600" s="9" t="s">
        <v>58</v>
      </c>
      <c r="Q600" s="9">
        <v>55</v>
      </c>
      <c r="R600" s="9">
        <v>3</v>
      </c>
      <c r="S600" s="9">
        <v>52</v>
      </c>
      <c r="T600" s="9">
        <v>21</v>
      </c>
      <c r="U600" s="9">
        <v>15</v>
      </c>
      <c r="V600" s="9" t="s">
        <v>2977</v>
      </c>
      <c r="W600" s="9">
        <v>0</v>
      </c>
      <c r="X600" s="9">
        <v>15</v>
      </c>
      <c r="Y600" s="9">
        <v>1</v>
      </c>
      <c r="Z600" s="9">
        <v>2</v>
      </c>
      <c r="AA600" s="9">
        <v>30</v>
      </c>
      <c r="AB600" s="9">
        <v>18</v>
      </c>
      <c r="AC600" s="9">
        <v>14</v>
      </c>
      <c r="AD600" s="9" t="s">
        <v>0</v>
      </c>
      <c r="AE600" s="9" t="s">
        <v>60</v>
      </c>
    </row>
    <row r="601" spans="1:31" ht="89.25" x14ac:dyDescent="0.2">
      <c r="A601" s="8" t="str">
        <f>HYPERLINK("http://www.patentics.cn/invokexml.do?sx=showpatent_cn&amp;sf=ShowPatent&amp;spn=US8842631&amp;sx=showpatent_cn&amp;sv=4168aa2e04fb2cd0b926c280eff356d9","US8842631")</f>
        <v>US8842631</v>
      </c>
      <c r="B601" s="9" t="s">
        <v>2978</v>
      </c>
      <c r="C601" s="9" t="s">
        <v>2979</v>
      </c>
      <c r="D601" s="9" t="s">
        <v>48</v>
      </c>
      <c r="E601" s="9" t="s">
        <v>49</v>
      </c>
      <c r="F601" s="9" t="s">
        <v>2980</v>
      </c>
      <c r="G601" s="9" t="s">
        <v>2981</v>
      </c>
      <c r="H601" s="9" t="s">
        <v>2982</v>
      </c>
      <c r="I601" s="9" t="s">
        <v>2983</v>
      </c>
      <c r="J601" s="9" t="s">
        <v>155</v>
      </c>
      <c r="K601" s="9" t="s">
        <v>55</v>
      </c>
      <c r="L601" s="9" t="s">
        <v>150</v>
      </c>
      <c r="M601" s="9">
        <v>24</v>
      </c>
      <c r="N601" s="9">
        <v>14</v>
      </c>
      <c r="O601" s="9" t="s">
        <v>57</v>
      </c>
      <c r="P601" s="9" t="s">
        <v>58</v>
      </c>
      <c r="Q601" s="9">
        <v>54</v>
      </c>
      <c r="R601" s="9">
        <v>3</v>
      </c>
      <c r="S601" s="9">
        <v>51</v>
      </c>
      <c r="T601" s="9">
        <v>21</v>
      </c>
      <c r="U601" s="9">
        <v>7</v>
      </c>
      <c r="V601" s="9" t="s">
        <v>1236</v>
      </c>
      <c r="W601" s="9">
        <v>0</v>
      </c>
      <c r="X601" s="9">
        <v>7</v>
      </c>
      <c r="Y601" s="9">
        <v>2</v>
      </c>
      <c r="Z601" s="9">
        <v>1</v>
      </c>
      <c r="AA601" s="9">
        <v>14</v>
      </c>
      <c r="AB601" s="9">
        <v>8</v>
      </c>
      <c r="AC601" s="9">
        <v>14</v>
      </c>
      <c r="AD601" s="9" t="s">
        <v>0</v>
      </c>
      <c r="AE601" s="9" t="s">
        <v>60</v>
      </c>
    </row>
    <row r="602" spans="1:31" ht="76.5" x14ac:dyDescent="0.2">
      <c r="A602" s="6" t="str">
        <f>HYPERLINK("http://www.patentics.cn/invokexml.do?sx=showpatent_cn&amp;sf=ShowPatent&amp;spn=CN1592475&amp;sx=showpatent_cn&amp;sv=66751522f963f27adb876ae7ea4dabf5","CN1592475")</f>
        <v>CN1592475</v>
      </c>
      <c r="B602" s="7" t="s">
        <v>2984</v>
      </c>
      <c r="C602" s="7" t="s">
        <v>2985</v>
      </c>
      <c r="D602" s="7" t="s">
        <v>2986</v>
      </c>
      <c r="E602" s="7" t="s">
        <v>2986</v>
      </c>
      <c r="F602" s="7" t="s">
        <v>2987</v>
      </c>
      <c r="G602" s="7" t="s">
        <v>2988</v>
      </c>
      <c r="H602" s="7" t="s">
        <v>2989</v>
      </c>
      <c r="I602" s="7" t="s">
        <v>2990</v>
      </c>
      <c r="J602" s="7" t="s">
        <v>339</v>
      </c>
      <c r="K602" s="7" t="s">
        <v>96</v>
      </c>
      <c r="L602" s="7" t="s">
        <v>1102</v>
      </c>
      <c r="M602" s="7">
        <v>15</v>
      </c>
      <c r="N602" s="7">
        <v>20</v>
      </c>
      <c r="O602" s="7" t="s">
        <v>42</v>
      </c>
      <c r="P602" s="7" t="s">
        <v>58</v>
      </c>
      <c r="Q602" s="7">
        <v>0</v>
      </c>
      <c r="R602" s="7">
        <v>0</v>
      </c>
      <c r="S602" s="7">
        <v>0</v>
      </c>
      <c r="T602" s="7">
        <v>0</v>
      </c>
      <c r="U602" s="7">
        <v>9</v>
      </c>
      <c r="V602" s="7" t="s">
        <v>2991</v>
      </c>
      <c r="W602" s="7">
        <v>2</v>
      </c>
      <c r="X602" s="7">
        <v>7</v>
      </c>
      <c r="Y602" s="7">
        <v>5</v>
      </c>
      <c r="Z602" s="7">
        <v>2</v>
      </c>
      <c r="AA602" s="7">
        <v>22</v>
      </c>
      <c r="AB602" s="7">
        <v>5</v>
      </c>
      <c r="AC602" s="7" t="s">
        <v>0</v>
      </c>
      <c r="AD602" s="7">
        <v>3</v>
      </c>
      <c r="AE602" s="7" t="s">
        <v>532</v>
      </c>
    </row>
    <row r="603" spans="1:31" ht="114.75" x14ac:dyDescent="0.2">
      <c r="A603" s="8" t="str">
        <f>HYPERLINK("http://www.patentics.cn/invokexml.do?sx=showpatent_cn&amp;sf=ShowPatent&amp;spn=US8948395&amp;sx=showpatent_cn&amp;sv=d169c163a5ea9a3b626b0d1a96232cdd","US8948395")</f>
        <v>US8948395</v>
      </c>
      <c r="B603" s="9" t="s">
        <v>2992</v>
      </c>
      <c r="C603" s="9" t="s">
        <v>2993</v>
      </c>
      <c r="D603" s="9" t="s">
        <v>48</v>
      </c>
      <c r="E603" s="9" t="s">
        <v>49</v>
      </c>
      <c r="F603" s="9" t="s">
        <v>2994</v>
      </c>
      <c r="G603" s="9" t="s">
        <v>2995</v>
      </c>
      <c r="H603" s="9" t="s">
        <v>325</v>
      </c>
      <c r="I603" s="9" t="s">
        <v>2996</v>
      </c>
      <c r="J603" s="9" t="s">
        <v>2355</v>
      </c>
      <c r="K603" s="9" t="s">
        <v>68</v>
      </c>
      <c r="L603" s="9" t="s">
        <v>2336</v>
      </c>
      <c r="M603" s="9">
        <v>26</v>
      </c>
      <c r="N603" s="9">
        <v>10</v>
      </c>
      <c r="O603" s="9" t="s">
        <v>57</v>
      </c>
      <c r="P603" s="9" t="s">
        <v>58</v>
      </c>
      <c r="Q603" s="9">
        <v>13</v>
      </c>
      <c r="R603" s="9">
        <v>0</v>
      </c>
      <c r="S603" s="9">
        <v>13</v>
      </c>
      <c r="T603" s="9">
        <v>9</v>
      </c>
      <c r="U603" s="9">
        <v>1</v>
      </c>
      <c r="V603" s="9" t="s">
        <v>70</v>
      </c>
      <c r="W603" s="9">
        <v>0</v>
      </c>
      <c r="X603" s="9">
        <v>1</v>
      </c>
      <c r="Y603" s="9">
        <v>1</v>
      </c>
      <c r="Z603" s="9">
        <v>1</v>
      </c>
      <c r="AA603" s="9">
        <v>17</v>
      </c>
      <c r="AB603" s="9">
        <v>10</v>
      </c>
      <c r="AC603" s="9">
        <v>14</v>
      </c>
      <c r="AD603" s="9" t="s">
        <v>0</v>
      </c>
      <c r="AE603" s="9" t="s">
        <v>60</v>
      </c>
    </row>
    <row r="604" spans="1:31" ht="51" x14ac:dyDescent="0.2">
      <c r="A604" s="8" t="str">
        <f>HYPERLINK("http://www.patentics.cn/invokexml.do?sx=showpatent_cn&amp;sf=ShowPatent&amp;spn=CN101507236B&amp;sx=showpatent_cn&amp;sv=afca8198f9f3db67960c828111418afe","CN101507236B")</f>
        <v>CN101507236B</v>
      </c>
      <c r="B604" s="9" t="s">
        <v>2997</v>
      </c>
      <c r="C604" s="9" t="s">
        <v>2998</v>
      </c>
      <c r="D604" s="9" t="s">
        <v>301</v>
      </c>
      <c r="E604" s="9" t="s">
        <v>301</v>
      </c>
      <c r="F604" s="9" t="s">
        <v>2999</v>
      </c>
      <c r="G604" s="9" t="s">
        <v>3000</v>
      </c>
      <c r="H604" s="9" t="s">
        <v>325</v>
      </c>
      <c r="I604" s="9" t="s">
        <v>3001</v>
      </c>
      <c r="J604" s="9" t="s">
        <v>2845</v>
      </c>
      <c r="K604" s="9" t="s">
        <v>68</v>
      </c>
      <c r="L604" s="9" t="s">
        <v>2336</v>
      </c>
      <c r="M604" s="9">
        <v>14</v>
      </c>
      <c r="N604" s="9">
        <v>11</v>
      </c>
      <c r="O604" s="9" t="s">
        <v>57</v>
      </c>
      <c r="P604" s="9" t="s">
        <v>58</v>
      </c>
      <c r="Q604" s="9">
        <v>3</v>
      </c>
      <c r="R604" s="9">
        <v>0</v>
      </c>
      <c r="S604" s="9">
        <v>3</v>
      </c>
      <c r="T604" s="9">
        <v>3</v>
      </c>
      <c r="U604" s="9">
        <v>0</v>
      </c>
      <c r="V604" s="9" t="s">
        <v>114</v>
      </c>
      <c r="W604" s="9">
        <v>0</v>
      </c>
      <c r="X604" s="9">
        <v>0</v>
      </c>
      <c r="Y604" s="9">
        <v>0</v>
      </c>
      <c r="Z604" s="9">
        <v>0</v>
      </c>
      <c r="AA604" s="9">
        <v>17</v>
      </c>
      <c r="AB604" s="9">
        <v>10</v>
      </c>
      <c r="AC604" s="9">
        <v>14</v>
      </c>
      <c r="AD604" s="9" t="s">
        <v>0</v>
      </c>
      <c r="AE604" s="9" t="s">
        <v>60</v>
      </c>
    </row>
    <row r="605" spans="1:31" ht="51" x14ac:dyDescent="0.2">
      <c r="A605" s="8" t="str">
        <f>HYPERLINK("http://www.patentics.cn/invokexml.do?sx=showpatent_cn&amp;sf=ShowPatent&amp;spn=CN103546464B&amp;sx=showpatent_cn&amp;sv=7fbf761923dfdb6706e3c50fd031bb1a","CN103546464B")</f>
        <v>CN103546464B</v>
      </c>
      <c r="B605" s="9" t="s">
        <v>3002</v>
      </c>
      <c r="C605" s="9" t="s">
        <v>2998</v>
      </c>
      <c r="D605" s="9" t="s">
        <v>301</v>
      </c>
      <c r="E605" s="9" t="s">
        <v>301</v>
      </c>
      <c r="F605" s="9" t="s">
        <v>2999</v>
      </c>
      <c r="G605" s="9" t="s">
        <v>3000</v>
      </c>
      <c r="H605" s="9" t="s">
        <v>325</v>
      </c>
      <c r="I605" s="9" t="s">
        <v>3001</v>
      </c>
      <c r="J605" s="9" t="s">
        <v>3003</v>
      </c>
      <c r="K605" s="9" t="s">
        <v>68</v>
      </c>
      <c r="L605" s="9" t="s">
        <v>2336</v>
      </c>
      <c r="M605" s="9">
        <v>9</v>
      </c>
      <c r="N605" s="9">
        <v>15</v>
      </c>
      <c r="O605" s="9" t="s">
        <v>57</v>
      </c>
      <c r="P605" s="9" t="s">
        <v>58</v>
      </c>
      <c r="Q605" s="9">
        <v>4</v>
      </c>
      <c r="R605" s="9">
        <v>0</v>
      </c>
      <c r="S605" s="9">
        <v>4</v>
      </c>
      <c r="T605" s="9">
        <v>4</v>
      </c>
      <c r="U605" s="9">
        <v>0</v>
      </c>
      <c r="V605" s="9" t="s">
        <v>114</v>
      </c>
      <c r="W605" s="9">
        <v>0</v>
      </c>
      <c r="X605" s="9">
        <v>0</v>
      </c>
      <c r="Y605" s="9">
        <v>0</v>
      </c>
      <c r="Z605" s="9">
        <v>0</v>
      </c>
      <c r="AA605" s="9">
        <v>0</v>
      </c>
      <c r="AB605" s="9">
        <v>0</v>
      </c>
      <c r="AC605" s="9">
        <v>14</v>
      </c>
      <c r="AD605" s="9" t="s">
        <v>0</v>
      </c>
      <c r="AE605" s="9" t="s">
        <v>60</v>
      </c>
    </row>
    <row r="606" spans="1:31" ht="51" x14ac:dyDescent="0.2">
      <c r="A606" s="6" t="str">
        <f>HYPERLINK("http://www.patentics.cn/invokexml.do?sx=showpatent_cn&amp;sf=ShowPatent&amp;spn=CN1564602&amp;sx=showpatent_cn&amp;sv=603cf3e548b0766026bb19c3dffd8b04","CN1564602")</f>
        <v>CN1564602</v>
      </c>
      <c r="B606" s="7" t="s">
        <v>3004</v>
      </c>
      <c r="C606" s="7" t="s">
        <v>3005</v>
      </c>
      <c r="D606" s="7" t="s">
        <v>432</v>
      </c>
      <c r="E606" s="7" t="s">
        <v>432</v>
      </c>
      <c r="F606" s="7" t="s">
        <v>3006</v>
      </c>
      <c r="G606" s="7" t="s">
        <v>3007</v>
      </c>
      <c r="H606" s="7" t="s">
        <v>3008</v>
      </c>
      <c r="I606" s="7" t="s">
        <v>3008</v>
      </c>
      <c r="J606" s="7" t="s">
        <v>3009</v>
      </c>
      <c r="K606" s="7" t="s">
        <v>714</v>
      </c>
      <c r="L606" s="7" t="s">
        <v>1643</v>
      </c>
      <c r="M606" s="7">
        <v>4</v>
      </c>
      <c r="N606" s="7">
        <v>44</v>
      </c>
      <c r="O606" s="7" t="s">
        <v>42</v>
      </c>
      <c r="P606" s="7" t="s">
        <v>341</v>
      </c>
      <c r="Q606" s="7">
        <v>1</v>
      </c>
      <c r="R606" s="7">
        <v>0</v>
      </c>
      <c r="S606" s="7">
        <v>1</v>
      </c>
      <c r="T606" s="7">
        <v>1</v>
      </c>
      <c r="U606" s="7">
        <v>22</v>
      </c>
      <c r="V606" s="7" t="s">
        <v>3010</v>
      </c>
      <c r="W606" s="7">
        <v>0</v>
      </c>
      <c r="X606" s="7">
        <v>22</v>
      </c>
      <c r="Y606" s="7">
        <v>11</v>
      </c>
      <c r="Z606" s="7">
        <v>3</v>
      </c>
      <c r="AA606" s="7">
        <v>6</v>
      </c>
      <c r="AB606" s="7">
        <v>5</v>
      </c>
      <c r="AC606" s="7" t="s">
        <v>0</v>
      </c>
      <c r="AD606" s="7">
        <v>3</v>
      </c>
      <c r="AE606" s="7" t="s">
        <v>532</v>
      </c>
    </row>
    <row r="607" spans="1:31" ht="76.5" x14ac:dyDescent="0.2">
      <c r="A607" s="8" t="str">
        <f>HYPERLINK("http://www.patentics.cn/invokexml.do?sx=showpatent_cn&amp;sf=ShowPatent&amp;spn=US8654833&amp;sx=showpatent_cn&amp;sv=7ca8594552080dadab57f35031ad99cc","US8654833")</f>
        <v>US8654833</v>
      </c>
      <c r="B607" s="9" t="s">
        <v>3011</v>
      </c>
      <c r="C607" s="9" t="s">
        <v>3012</v>
      </c>
      <c r="D607" s="9" t="s">
        <v>48</v>
      </c>
      <c r="E607" s="9" t="s">
        <v>49</v>
      </c>
      <c r="F607" s="9" t="s">
        <v>3013</v>
      </c>
      <c r="G607" s="9" t="s">
        <v>3014</v>
      </c>
      <c r="H607" s="9" t="s">
        <v>3015</v>
      </c>
      <c r="I607" s="9" t="s">
        <v>3015</v>
      </c>
      <c r="J607" s="9" t="s">
        <v>3016</v>
      </c>
      <c r="K607" s="9" t="s">
        <v>714</v>
      </c>
      <c r="L607" s="9" t="s">
        <v>1360</v>
      </c>
      <c r="M607" s="9">
        <v>27</v>
      </c>
      <c r="N607" s="9">
        <v>9</v>
      </c>
      <c r="O607" s="9" t="s">
        <v>57</v>
      </c>
      <c r="P607" s="9" t="s">
        <v>58</v>
      </c>
      <c r="Q607" s="9">
        <v>21</v>
      </c>
      <c r="R607" s="9">
        <v>1</v>
      </c>
      <c r="S607" s="9">
        <v>20</v>
      </c>
      <c r="T607" s="9">
        <v>11</v>
      </c>
      <c r="U607" s="9">
        <v>0</v>
      </c>
      <c r="V607" s="9" t="s">
        <v>114</v>
      </c>
      <c r="W607" s="9">
        <v>0</v>
      </c>
      <c r="X607" s="9">
        <v>0</v>
      </c>
      <c r="Y607" s="9">
        <v>0</v>
      </c>
      <c r="Z607" s="9">
        <v>0</v>
      </c>
      <c r="AA607" s="9">
        <v>12</v>
      </c>
      <c r="AB607" s="9">
        <v>7</v>
      </c>
      <c r="AC607" s="9">
        <v>14</v>
      </c>
      <c r="AD607" s="9" t="s">
        <v>0</v>
      </c>
      <c r="AE607" s="9" t="s">
        <v>60</v>
      </c>
    </row>
    <row r="608" spans="1:31" ht="25.5" x14ac:dyDescent="0.2">
      <c r="A608" s="8" t="str">
        <f>HYPERLINK("http://www.patentics.cn/invokexml.do?sx=showpatent_cn&amp;sf=ShowPatent&amp;spn=CN101529917B&amp;sx=showpatent_cn&amp;sv=ecdeb33aa95b973bfdbb06e28071f958","CN101529917B")</f>
        <v>CN101529917B</v>
      </c>
      <c r="B608" s="9" t="s">
        <v>3017</v>
      </c>
      <c r="C608" s="9" t="s">
        <v>3018</v>
      </c>
      <c r="D608" s="9" t="s">
        <v>301</v>
      </c>
      <c r="E608" s="9" t="s">
        <v>301</v>
      </c>
      <c r="F608" s="9" t="s">
        <v>3019</v>
      </c>
      <c r="G608" s="9" t="s">
        <v>3019</v>
      </c>
      <c r="H608" s="9" t="s">
        <v>3020</v>
      </c>
      <c r="I608" s="9" t="s">
        <v>2844</v>
      </c>
      <c r="J608" s="9" t="s">
        <v>3021</v>
      </c>
      <c r="K608" s="9" t="s">
        <v>714</v>
      </c>
      <c r="L608" s="9" t="s">
        <v>1388</v>
      </c>
      <c r="M608" s="9">
        <v>17</v>
      </c>
      <c r="N608" s="9">
        <v>20</v>
      </c>
      <c r="O608" s="9" t="s">
        <v>57</v>
      </c>
      <c r="P608" s="9" t="s">
        <v>58</v>
      </c>
      <c r="Q608" s="9">
        <v>4</v>
      </c>
      <c r="R608" s="9">
        <v>0</v>
      </c>
      <c r="S608" s="9">
        <v>4</v>
      </c>
      <c r="T608" s="9">
        <v>3</v>
      </c>
      <c r="U608" s="9">
        <v>0</v>
      </c>
      <c r="V608" s="9" t="s">
        <v>114</v>
      </c>
      <c r="W608" s="9">
        <v>0</v>
      </c>
      <c r="X608" s="9">
        <v>0</v>
      </c>
      <c r="Y608" s="9">
        <v>0</v>
      </c>
      <c r="Z608" s="9">
        <v>0</v>
      </c>
      <c r="AA608" s="9">
        <v>17</v>
      </c>
      <c r="AB608" s="9">
        <v>9</v>
      </c>
      <c r="AC608" s="9">
        <v>14</v>
      </c>
      <c r="AD608" s="9" t="s">
        <v>0</v>
      </c>
      <c r="AE608" s="9" t="s">
        <v>60</v>
      </c>
    </row>
    <row r="609" spans="1:31" ht="63.75" x14ac:dyDescent="0.2">
      <c r="A609" s="8" t="str">
        <f>HYPERLINK("http://www.patentics.cn/invokexml.do?sx=showpatent_cn&amp;sf=ShowPatent&amp;spn=CN102067606B&amp;sx=showpatent_cn&amp;sv=e6738f4b9cc0d2b0ae6dc7c640d9877a","CN102067606B")</f>
        <v>CN102067606B</v>
      </c>
      <c r="B609" s="9" t="s">
        <v>3022</v>
      </c>
      <c r="C609" s="9" t="s">
        <v>3023</v>
      </c>
      <c r="D609" s="9" t="s">
        <v>301</v>
      </c>
      <c r="E609" s="9" t="s">
        <v>301</v>
      </c>
      <c r="F609" s="9" t="s">
        <v>3024</v>
      </c>
      <c r="G609" s="9" t="s">
        <v>3025</v>
      </c>
      <c r="H609" s="9" t="s">
        <v>3015</v>
      </c>
      <c r="I609" s="9" t="s">
        <v>1012</v>
      </c>
      <c r="J609" s="9" t="s">
        <v>3026</v>
      </c>
      <c r="K609" s="9" t="s">
        <v>714</v>
      </c>
      <c r="L609" s="9" t="s">
        <v>3027</v>
      </c>
      <c r="M609" s="9">
        <v>6</v>
      </c>
      <c r="N609" s="9">
        <v>8</v>
      </c>
      <c r="O609" s="9" t="s">
        <v>57</v>
      </c>
      <c r="P609" s="9" t="s">
        <v>58</v>
      </c>
      <c r="Q609" s="9">
        <v>3</v>
      </c>
      <c r="R609" s="9">
        <v>0</v>
      </c>
      <c r="S609" s="9">
        <v>3</v>
      </c>
      <c r="T609" s="9">
        <v>3</v>
      </c>
      <c r="U609" s="9">
        <v>0</v>
      </c>
      <c r="V609" s="9" t="s">
        <v>114</v>
      </c>
      <c r="W609" s="9">
        <v>0</v>
      </c>
      <c r="X609" s="9">
        <v>0</v>
      </c>
      <c r="Y609" s="9">
        <v>0</v>
      </c>
      <c r="Z609" s="9">
        <v>0</v>
      </c>
      <c r="AA609" s="9">
        <v>12</v>
      </c>
      <c r="AB609" s="9">
        <v>7</v>
      </c>
      <c r="AC609" s="9">
        <v>14</v>
      </c>
      <c r="AD609" s="9" t="s">
        <v>0</v>
      </c>
      <c r="AE609" s="9" t="s">
        <v>60</v>
      </c>
    </row>
    <row r="610" spans="1:31" ht="25.5" x14ac:dyDescent="0.2">
      <c r="A610" s="6" t="str">
        <f>HYPERLINK("http://www.patentics.cn/invokexml.do?sx=showpatent_cn&amp;sf=ShowPatent&amp;spn=CN1379572&amp;sx=showpatent_cn&amp;sv=f3215c915e43b411df7bdd7efc0f2a40","CN1379572")</f>
        <v>CN1379572</v>
      </c>
      <c r="B610" s="7" t="s">
        <v>3028</v>
      </c>
      <c r="C610" s="7" t="s">
        <v>3029</v>
      </c>
      <c r="D610" s="7" t="s">
        <v>1383</v>
      </c>
      <c r="E610" s="7" t="s">
        <v>1383</v>
      </c>
      <c r="F610" s="7" t="s">
        <v>3030</v>
      </c>
      <c r="G610" s="7" t="s">
        <v>3031</v>
      </c>
      <c r="H610" s="7" t="s">
        <v>3032</v>
      </c>
      <c r="I610" s="7" t="s">
        <v>3032</v>
      </c>
      <c r="J610" s="7" t="s">
        <v>3033</v>
      </c>
      <c r="K610" s="7" t="s">
        <v>68</v>
      </c>
      <c r="L610" s="7" t="s">
        <v>1946</v>
      </c>
      <c r="M610" s="7">
        <v>4</v>
      </c>
      <c r="N610" s="7">
        <v>32</v>
      </c>
      <c r="O610" s="7" t="s">
        <v>42</v>
      </c>
      <c r="P610" s="7" t="s">
        <v>43</v>
      </c>
      <c r="Q610" s="7">
        <v>0</v>
      </c>
      <c r="R610" s="7">
        <v>0</v>
      </c>
      <c r="S610" s="7">
        <v>0</v>
      </c>
      <c r="T610" s="7">
        <v>0</v>
      </c>
      <c r="U610" s="7">
        <v>6</v>
      </c>
      <c r="V610" s="7" t="s">
        <v>3034</v>
      </c>
      <c r="W610" s="7">
        <v>0</v>
      </c>
      <c r="X610" s="7">
        <v>6</v>
      </c>
      <c r="Y610" s="7">
        <v>4</v>
      </c>
      <c r="Z610" s="7">
        <v>2</v>
      </c>
      <c r="AA610" s="7">
        <v>1</v>
      </c>
      <c r="AB610" s="7">
        <v>1</v>
      </c>
      <c r="AC610" s="7" t="s">
        <v>0</v>
      </c>
      <c r="AD610" s="7">
        <v>3</v>
      </c>
      <c r="AE610" s="7" t="s">
        <v>532</v>
      </c>
    </row>
    <row r="611" spans="1:31" ht="51" x14ac:dyDescent="0.2">
      <c r="A611" s="8" t="str">
        <f>HYPERLINK("http://www.patentics.cn/invokexml.do?sx=showpatent_cn&amp;sf=ShowPatent&amp;spn=US8964757&amp;sx=showpatent_cn&amp;sv=54b67dd6ce5983b128f94298536d62fd","US8964757")</f>
        <v>US8964757</v>
      </c>
      <c r="B611" s="9" t="s">
        <v>3035</v>
      </c>
      <c r="C611" s="9" t="s">
        <v>3036</v>
      </c>
      <c r="D611" s="9" t="s">
        <v>48</v>
      </c>
      <c r="E611" s="9" t="s">
        <v>49</v>
      </c>
      <c r="F611" s="9" t="s">
        <v>3037</v>
      </c>
      <c r="G611" s="9" t="s">
        <v>3038</v>
      </c>
      <c r="H611" s="9" t="s">
        <v>3039</v>
      </c>
      <c r="I611" s="9" t="s">
        <v>3040</v>
      </c>
      <c r="J611" s="9" t="s">
        <v>573</v>
      </c>
      <c r="K611" s="9" t="s">
        <v>68</v>
      </c>
      <c r="L611" s="9" t="s">
        <v>245</v>
      </c>
      <c r="M611" s="9">
        <v>34</v>
      </c>
      <c r="N611" s="9">
        <v>16</v>
      </c>
      <c r="O611" s="9" t="s">
        <v>57</v>
      </c>
      <c r="P611" s="9" t="s">
        <v>58</v>
      </c>
      <c r="Q611" s="9">
        <v>30</v>
      </c>
      <c r="R611" s="9">
        <v>0</v>
      </c>
      <c r="S611" s="9">
        <v>30</v>
      </c>
      <c r="T611" s="9">
        <v>22</v>
      </c>
      <c r="U611" s="9">
        <v>0</v>
      </c>
      <c r="V611" s="9" t="s">
        <v>114</v>
      </c>
      <c r="W611" s="9">
        <v>0</v>
      </c>
      <c r="X611" s="9">
        <v>0</v>
      </c>
      <c r="Y611" s="9">
        <v>0</v>
      </c>
      <c r="Z611" s="9">
        <v>0</v>
      </c>
      <c r="AA611" s="9">
        <v>25</v>
      </c>
      <c r="AB611" s="9">
        <v>8</v>
      </c>
      <c r="AC611" s="9">
        <v>14</v>
      </c>
      <c r="AD611" s="9" t="s">
        <v>0</v>
      </c>
      <c r="AE611" s="9" t="s">
        <v>60</v>
      </c>
    </row>
    <row r="612" spans="1:31" ht="25.5" x14ac:dyDescent="0.2">
      <c r="A612" s="8" t="str">
        <f>HYPERLINK("http://www.patentics.cn/invokexml.do?sx=showpatent_cn&amp;sf=ShowPatent&amp;spn=CN102656863B&amp;sx=showpatent_cn&amp;sv=af8cf27413df5a8be68f70666487233f","CN102656863B")</f>
        <v>CN102656863B</v>
      </c>
      <c r="B612" s="9" t="s">
        <v>3041</v>
      </c>
      <c r="C612" s="9" t="s">
        <v>3042</v>
      </c>
      <c r="D612" s="9" t="s">
        <v>301</v>
      </c>
      <c r="E612" s="9" t="s">
        <v>301</v>
      </c>
      <c r="F612" s="9" t="s">
        <v>3043</v>
      </c>
      <c r="G612" s="9" t="s">
        <v>3044</v>
      </c>
      <c r="H612" s="9" t="s">
        <v>3039</v>
      </c>
      <c r="I612" s="9" t="s">
        <v>3045</v>
      </c>
      <c r="J612" s="9" t="s">
        <v>3046</v>
      </c>
      <c r="K612" s="9" t="s">
        <v>55</v>
      </c>
      <c r="L612" s="9" t="s">
        <v>3047</v>
      </c>
      <c r="M612" s="9">
        <v>26</v>
      </c>
      <c r="N612" s="9">
        <v>24</v>
      </c>
      <c r="O612" s="9" t="s">
        <v>57</v>
      </c>
      <c r="P612" s="9" t="s">
        <v>58</v>
      </c>
      <c r="Q612" s="9">
        <v>2</v>
      </c>
      <c r="R612" s="9">
        <v>0</v>
      </c>
      <c r="S612" s="9">
        <v>2</v>
      </c>
      <c r="T612" s="9">
        <v>2</v>
      </c>
      <c r="U612" s="9">
        <v>0</v>
      </c>
      <c r="V612" s="9" t="s">
        <v>114</v>
      </c>
      <c r="W612" s="9">
        <v>0</v>
      </c>
      <c r="X612" s="9">
        <v>0</v>
      </c>
      <c r="Y612" s="9">
        <v>0</v>
      </c>
      <c r="Z612" s="9">
        <v>0</v>
      </c>
      <c r="AA612" s="9">
        <v>25</v>
      </c>
      <c r="AB612" s="9">
        <v>8</v>
      </c>
      <c r="AC612" s="9">
        <v>14</v>
      </c>
      <c r="AD612" s="9" t="s">
        <v>0</v>
      </c>
      <c r="AE612" s="9" t="s">
        <v>60</v>
      </c>
    </row>
    <row r="613" spans="1:31" ht="25.5" x14ac:dyDescent="0.2">
      <c r="A613" s="8" t="str">
        <f>HYPERLINK("http://www.patentics.cn/invokexml.do?sx=showpatent_cn&amp;sf=ShowPatent&amp;spn=CN102656863&amp;sx=showpatent_cn&amp;sv=6d69aeec1b727fb636b0f4d0ac703573","CN102656863")</f>
        <v>CN102656863</v>
      </c>
      <c r="B613" s="9" t="s">
        <v>3041</v>
      </c>
      <c r="C613" s="9" t="s">
        <v>3048</v>
      </c>
      <c r="D613" s="9" t="s">
        <v>301</v>
      </c>
      <c r="E613" s="9" t="s">
        <v>301</v>
      </c>
      <c r="F613" s="9" t="s">
        <v>3043</v>
      </c>
      <c r="G613" s="9" t="s">
        <v>3044</v>
      </c>
      <c r="H613" s="9" t="s">
        <v>3039</v>
      </c>
      <c r="I613" s="9" t="s">
        <v>3045</v>
      </c>
      <c r="J613" s="9" t="s">
        <v>1094</v>
      </c>
      <c r="K613" s="9" t="s">
        <v>68</v>
      </c>
      <c r="L613" s="9" t="s">
        <v>2336</v>
      </c>
      <c r="M613" s="9">
        <v>29</v>
      </c>
      <c r="N613" s="9">
        <v>15</v>
      </c>
      <c r="O613" s="9" t="s">
        <v>42</v>
      </c>
      <c r="P613" s="9" t="s">
        <v>58</v>
      </c>
      <c r="Q613" s="9">
        <v>2</v>
      </c>
      <c r="R613" s="9">
        <v>0</v>
      </c>
      <c r="S613" s="9">
        <v>2</v>
      </c>
      <c r="T613" s="9">
        <v>2</v>
      </c>
      <c r="U613" s="9">
        <v>0</v>
      </c>
      <c r="V613" s="9" t="s">
        <v>114</v>
      </c>
      <c r="W613" s="9">
        <v>0</v>
      </c>
      <c r="X613" s="9">
        <v>0</v>
      </c>
      <c r="Y613" s="9">
        <v>0</v>
      </c>
      <c r="Z613" s="9">
        <v>0</v>
      </c>
      <c r="AA613" s="9">
        <v>25</v>
      </c>
      <c r="AB613" s="9">
        <v>8</v>
      </c>
      <c r="AC613" s="9">
        <v>14</v>
      </c>
      <c r="AD613" s="9" t="s">
        <v>0</v>
      </c>
      <c r="AE613" s="9" t="s">
        <v>60</v>
      </c>
    </row>
    <row r="614" spans="1:31" ht="25.5" x14ac:dyDescent="0.2">
      <c r="A614" s="6" t="str">
        <f>HYPERLINK("http://www.patentics.cn/invokexml.do?sx=showpatent_cn&amp;sf=ShowPatent&amp;spn=CN1352505&amp;sx=showpatent_cn&amp;sv=cccaf69b01cca56fac636bd15cfb0ce4","CN1352505")</f>
        <v>CN1352505</v>
      </c>
      <c r="B614" s="7" t="s">
        <v>3049</v>
      </c>
      <c r="C614" s="7" t="s">
        <v>3050</v>
      </c>
      <c r="D614" s="7" t="s">
        <v>1341</v>
      </c>
      <c r="E614" s="7" t="s">
        <v>1341</v>
      </c>
      <c r="F614" s="7" t="s">
        <v>3051</v>
      </c>
      <c r="G614" s="7" t="s">
        <v>3052</v>
      </c>
      <c r="H614" s="7" t="s">
        <v>3053</v>
      </c>
      <c r="I614" s="7" t="s">
        <v>3053</v>
      </c>
      <c r="J614" s="7" t="s">
        <v>3054</v>
      </c>
      <c r="K614" s="7" t="s">
        <v>68</v>
      </c>
      <c r="L614" s="7" t="s">
        <v>3055</v>
      </c>
      <c r="M614" s="7">
        <v>4</v>
      </c>
      <c r="N614" s="7">
        <v>14</v>
      </c>
      <c r="O614" s="7" t="s">
        <v>42</v>
      </c>
      <c r="P614" s="7" t="s">
        <v>43</v>
      </c>
      <c r="Q614" s="7">
        <v>0</v>
      </c>
      <c r="R614" s="7">
        <v>0</v>
      </c>
      <c r="S614" s="7">
        <v>0</v>
      </c>
      <c r="T614" s="7">
        <v>0</v>
      </c>
      <c r="U614" s="7">
        <v>7</v>
      </c>
      <c r="V614" s="7" t="s">
        <v>3056</v>
      </c>
      <c r="W614" s="7">
        <v>0</v>
      </c>
      <c r="X614" s="7">
        <v>7</v>
      </c>
      <c r="Y614" s="7">
        <v>4</v>
      </c>
      <c r="Z614" s="7">
        <v>2</v>
      </c>
      <c r="AA614" s="7">
        <v>1</v>
      </c>
      <c r="AB614" s="7">
        <v>1</v>
      </c>
      <c r="AC614" s="7" t="s">
        <v>0</v>
      </c>
      <c r="AD614" s="7">
        <v>3</v>
      </c>
      <c r="AE614" s="7" t="s">
        <v>532</v>
      </c>
    </row>
    <row r="615" spans="1:31" ht="140.25" x14ac:dyDescent="0.2">
      <c r="A615" s="8" t="str">
        <f>HYPERLINK("http://www.patentics.cn/invokexml.do?sx=showpatent_cn&amp;sf=ShowPatent&amp;spn=US9172561&amp;sx=showpatent_cn&amp;sv=3b5e5173429c6bee3f35e2551a9b5bf1","US9172561")</f>
        <v>US9172561</v>
      </c>
      <c r="B615" s="9" t="s">
        <v>2657</v>
      </c>
      <c r="C615" s="9" t="s">
        <v>2658</v>
      </c>
      <c r="D615" s="9" t="s">
        <v>578</v>
      </c>
      <c r="E615" s="9" t="s">
        <v>49</v>
      </c>
      <c r="F615" s="9" t="s">
        <v>2659</v>
      </c>
      <c r="G615" s="9" t="s">
        <v>2539</v>
      </c>
      <c r="H615" s="9" t="s">
        <v>2660</v>
      </c>
      <c r="I615" s="9" t="s">
        <v>1778</v>
      </c>
      <c r="J615" s="9" t="s">
        <v>223</v>
      </c>
      <c r="K615" s="9" t="s">
        <v>68</v>
      </c>
      <c r="L615" s="9" t="s">
        <v>446</v>
      </c>
      <c r="M615" s="9">
        <v>56</v>
      </c>
      <c r="N615" s="9">
        <v>10</v>
      </c>
      <c r="O615" s="9" t="s">
        <v>57</v>
      </c>
      <c r="P615" s="9" t="s">
        <v>58</v>
      </c>
      <c r="Q615" s="9">
        <v>13</v>
      </c>
      <c r="R615" s="9">
        <v>1</v>
      </c>
      <c r="S615" s="9">
        <v>12</v>
      </c>
      <c r="T615" s="9">
        <v>11</v>
      </c>
      <c r="U615" s="9">
        <v>8</v>
      </c>
      <c r="V615" s="9" t="s">
        <v>114</v>
      </c>
      <c r="W615" s="9">
        <v>0</v>
      </c>
      <c r="X615" s="9">
        <v>8</v>
      </c>
      <c r="Y615" s="9">
        <v>0</v>
      </c>
      <c r="Z615" s="9">
        <v>1</v>
      </c>
      <c r="AA615" s="9">
        <v>11</v>
      </c>
      <c r="AB615" s="9">
        <v>7</v>
      </c>
      <c r="AC615" s="9">
        <v>14</v>
      </c>
      <c r="AD615" s="9" t="s">
        <v>0</v>
      </c>
      <c r="AE615" s="9" t="s">
        <v>60</v>
      </c>
    </row>
    <row r="616" spans="1:31" ht="63.75" x14ac:dyDescent="0.2">
      <c r="A616" s="8" t="str">
        <f>HYPERLINK("http://www.patentics.cn/invokexml.do?sx=showpatent_cn&amp;sf=ShowPatent&amp;spn=CN102474474B&amp;sx=showpatent_cn&amp;sv=d6d2972cde913f2833fa5a5b7c27a19c","CN102474474B")</f>
        <v>CN102474474B</v>
      </c>
      <c r="B616" s="9" t="s">
        <v>2661</v>
      </c>
      <c r="C616" s="9" t="s">
        <v>2662</v>
      </c>
      <c r="D616" s="9" t="s">
        <v>301</v>
      </c>
      <c r="E616" s="9" t="s">
        <v>301</v>
      </c>
      <c r="F616" s="9" t="s">
        <v>2663</v>
      </c>
      <c r="G616" s="9" t="s">
        <v>2544</v>
      </c>
      <c r="H616" s="9" t="s">
        <v>2660</v>
      </c>
      <c r="I616" s="9" t="s">
        <v>2540</v>
      </c>
      <c r="J616" s="9" t="s">
        <v>2664</v>
      </c>
      <c r="K616" s="9" t="s">
        <v>68</v>
      </c>
      <c r="L616" s="9" t="s">
        <v>428</v>
      </c>
      <c r="M616" s="9">
        <v>47</v>
      </c>
      <c r="N616" s="9">
        <v>14</v>
      </c>
      <c r="O616" s="9" t="s">
        <v>57</v>
      </c>
      <c r="P616" s="9" t="s">
        <v>58</v>
      </c>
      <c r="Q616" s="9">
        <v>8</v>
      </c>
      <c r="R616" s="9">
        <v>0</v>
      </c>
      <c r="S616" s="9">
        <v>8</v>
      </c>
      <c r="T616" s="9">
        <v>8</v>
      </c>
      <c r="U616" s="9">
        <v>8</v>
      </c>
      <c r="V616" s="9" t="s">
        <v>114</v>
      </c>
      <c r="W616" s="9">
        <v>0</v>
      </c>
      <c r="X616" s="9">
        <v>8</v>
      </c>
      <c r="Y616" s="9">
        <v>0</v>
      </c>
      <c r="Z616" s="9">
        <v>1</v>
      </c>
      <c r="AA616" s="9">
        <v>11</v>
      </c>
      <c r="AB616" s="9">
        <v>7</v>
      </c>
      <c r="AC616" s="9">
        <v>14</v>
      </c>
      <c r="AD616" s="9" t="s">
        <v>0</v>
      </c>
      <c r="AE616" s="9" t="s">
        <v>60</v>
      </c>
    </row>
    <row r="617" spans="1:31" ht="63.75" x14ac:dyDescent="0.2">
      <c r="A617" s="8" t="str">
        <f>HYPERLINK("http://www.patentics.cn/invokexml.do?sx=showpatent_cn&amp;sf=ShowPatent&amp;spn=CN102474474&amp;sx=showpatent_cn&amp;sv=9bb1824d12e5945d21fa934d4ca8b470","CN102474474")</f>
        <v>CN102474474</v>
      </c>
      <c r="B617" s="9" t="s">
        <v>2661</v>
      </c>
      <c r="C617" s="9" t="s">
        <v>2662</v>
      </c>
      <c r="D617" s="9" t="s">
        <v>301</v>
      </c>
      <c r="E617" s="9" t="s">
        <v>301</v>
      </c>
      <c r="F617" s="9" t="s">
        <v>2663</v>
      </c>
      <c r="G617" s="9" t="s">
        <v>2544</v>
      </c>
      <c r="H617" s="9" t="s">
        <v>2660</v>
      </c>
      <c r="I617" s="9" t="s">
        <v>2540</v>
      </c>
      <c r="J617" s="9" t="s">
        <v>429</v>
      </c>
      <c r="K617" s="9" t="s">
        <v>68</v>
      </c>
      <c r="L617" s="9" t="s">
        <v>428</v>
      </c>
      <c r="M617" s="9">
        <v>58</v>
      </c>
      <c r="N617" s="9">
        <v>10</v>
      </c>
      <c r="O617" s="9" t="s">
        <v>42</v>
      </c>
      <c r="P617" s="9" t="s">
        <v>58</v>
      </c>
      <c r="Q617" s="9">
        <v>8</v>
      </c>
      <c r="R617" s="9">
        <v>0</v>
      </c>
      <c r="S617" s="9">
        <v>8</v>
      </c>
      <c r="T617" s="9">
        <v>8</v>
      </c>
      <c r="U617" s="9">
        <v>9</v>
      </c>
      <c r="V617" s="9" t="s">
        <v>479</v>
      </c>
      <c r="W617" s="9">
        <v>0</v>
      </c>
      <c r="X617" s="9">
        <v>9</v>
      </c>
      <c r="Y617" s="9">
        <v>1</v>
      </c>
      <c r="Z617" s="9">
        <v>2</v>
      </c>
      <c r="AA617" s="9">
        <v>11</v>
      </c>
      <c r="AB617" s="9">
        <v>7</v>
      </c>
      <c r="AC617" s="9">
        <v>14</v>
      </c>
      <c r="AD617" s="9" t="s">
        <v>0</v>
      </c>
      <c r="AE617" s="9" t="s">
        <v>60</v>
      </c>
    </row>
    <row r="618" spans="1:31" ht="38.25" x14ac:dyDescent="0.2">
      <c r="A618" s="6" t="str">
        <f>HYPERLINK("http://www.patentics.cn/invokexml.do?sx=showpatent_cn&amp;sf=ShowPatent&amp;spn=CN1322063&amp;sx=showpatent_cn&amp;sv=fcd5fc73a5f14ee3220acedb4aa32ede","CN1322063")</f>
        <v>CN1322063</v>
      </c>
      <c r="B618" s="7" t="s">
        <v>3057</v>
      </c>
      <c r="C618" s="7" t="s">
        <v>3058</v>
      </c>
      <c r="D618" s="7" t="s">
        <v>1383</v>
      </c>
      <c r="E618" s="7" t="s">
        <v>1383</v>
      </c>
      <c r="F618" s="7" t="s">
        <v>3059</v>
      </c>
      <c r="G618" s="7" t="s">
        <v>3060</v>
      </c>
      <c r="H618" s="7" t="s">
        <v>3061</v>
      </c>
      <c r="I618" s="7" t="s">
        <v>3061</v>
      </c>
      <c r="J618" s="7" t="s">
        <v>3062</v>
      </c>
      <c r="K618" s="7" t="s">
        <v>1529</v>
      </c>
      <c r="L618" s="7" t="s">
        <v>3063</v>
      </c>
      <c r="M618" s="7">
        <v>1</v>
      </c>
      <c r="N618" s="7">
        <v>32</v>
      </c>
      <c r="O618" s="7" t="s">
        <v>42</v>
      </c>
      <c r="P618" s="7" t="s">
        <v>43</v>
      </c>
      <c r="Q618" s="7">
        <v>0</v>
      </c>
      <c r="R618" s="7">
        <v>0</v>
      </c>
      <c r="S618" s="7">
        <v>0</v>
      </c>
      <c r="T618" s="7">
        <v>0</v>
      </c>
      <c r="U618" s="7">
        <v>6</v>
      </c>
      <c r="V618" s="7" t="s">
        <v>3064</v>
      </c>
      <c r="W618" s="7">
        <v>0</v>
      </c>
      <c r="X618" s="7">
        <v>6</v>
      </c>
      <c r="Y618" s="7">
        <v>3</v>
      </c>
      <c r="Z618" s="7">
        <v>4</v>
      </c>
      <c r="AA618" s="7">
        <v>1</v>
      </c>
      <c r="AB618" s="7">
        <v>1</v>
      </c>
      <c r="AC618" s="7" t="s">
        <v>0</v>
      </c>
      <c r="AD618" s="7">
        <v>3</v>
      </c>
      <c r="AE618" s="7" t="s">
        <v>532</v>
      </c>
    </row>
    <row r="619" spans="1:31" ht="89.25" x14ac:dyDescent="0.2">
      <c r="A619" s="8" t="str">
        <f>HYPERLINK("http://www.patentics.cn/invokexml.do?sx=showpatent_cn&amp;sf=ShowPatent&amp;spn=US9379739&amp;sx=showpatent_cn&amp;sv=90da68402020145931323a3e4e12ce21","US9379739")</f>
        <v>US9379739</v>
      </c>
      <c r="B619" s="9" t="s">
        <v>3065</v>
      </c>
      <c r="C619" s="9" t="s">
        <v>3066</v>
      </c>
      <c r="D619" s="9" t="s">
        <v>48</v>
      </c>
      <c r="E619" s="9" t="s">
        <v>49</v>
      </c>
      <c r="F619" s="9" t="s">
        <v>3067</v>
      </c>
      <c r="G619" s="9" t="s">
        <v>3068</v>
      </c>
      <c r="H619" s="9" t="s">
        <v>3069</v>
      </c>
      <c r="I619" s="9" t="s">
        <v>3070</v>
      </c>
      <c r="J619" s="9" t="s">
        <v>3071</v>
      </c>
      <c r="K619" s="9" t="s">
        <v>1529</v>
      </c>
      <c r="L619" s="9" t="s">
        <v>3072</v>
      </c>
      <c r="M619" s="9">
        <v>28</v>
      </c>
      <c r="N619" s="9">
        <v>19</v>
      </c>
      <c r="O619" s="9" t="s">
        <v>57</v>
      </c>
      <c r="P619" s="9" t="s">
        <v>58</v>
      </c>
      <c r="Q619" s="9">
        <v>28</v>
      </c>
      <c r="R619" s="9">
        <v>0</v>
      </c>
      <c r="S619" s="9">
        <v>28</v>
      </c>
      <c r="T619" s="9">
        <v>17</v>
      </c>
      <c r="U619" s="9">
        <v>0</v>
      </c>
      <c r="V619" s="9" t="s">
        <v>114</v>
      </c>
      <c r="W619" s="9">
        <v>0</v>
      </c>
      <c r="X619" s="9">
        <v>0</v>
      </c>
      <c r="Y619" s="9">
        <v>0</v>
      </c>
      <c r="Z619" s="9">
        <v>0</v>
      </c>
      <c r="AA619" s="9">
        <v>4</v>
      </c>
      <c r="AB619" s="9">
        <v>4</v>
      </c>
      <c r="AC619" s="9">
        <v>14</v>
      </c>
      <c r="AD619" s="9" t="s">
        <v>0</v>
      </c>
      <c r="AE619" s="9" t="s">
        <v>60</v>
      </c>
    </row>
    <row r="620" spans="1:31" ht="89.25" x14ac:dyDescent="0.2">
      <c r="A620" s="8" t="str">
        <f>HYPERLINK("http://www.patentics.cn/invokexml.do?sx=showpatent_cn&amp;sf=ShowPatent&amp;spn=WO2016025186&amp;sx=showpatent_cn&amp;sv=128447f4a892b0eb4b5c7fd94562fa87","WO2016025186")</f>
        <v>WO2016025186</v>
      </c>
      <c r="B620" s="9" t="s">
        <v>3073</v>
      </c>
      <c r="C620" s="9" t="s">
        <v>3074</v>
      </c>
      <c r="D620" s="9" t="s">
        <v>117</v>
      </c>
      <c r="E620" s="9" t="s">
        <v>49</v>
      </c>
      <c r="F620" s="9" t="s">
        <v>3075</v>
      </c>
      <c r="G620" s="9" t="s">
        <v>3076</v>
      </c>
      <c r="H620" s="9" t="s">
        <v>3069</v>
      </c>
      <c r="I620" s="9" t="s">
        <v>3077</v>
      </c>
      <c r="J620" s="9" t="s">
        <v>3078</v>
      </c>
      <c r="K620" s="9" t="s">
        <v>1529</v>
      </c>
      <c r="L620" s="9" t="s">
        <v>3079</v>
      </c>
      <c r="M620" s="9">
        <v>27</v>
      </c>
      <c r="N620" s="9">
        <v>21</v>
      </c>
      <c r="O620" s="9" t="s">
        <v>850</v>
      </c>
      <c r="P620" s="9" t="s">
        <v>58</v>
      </c>
      <c r="Q620" s="9">
        <v>1</v>
      </c>
      <c r="R620" s="9">
        <v>0</v>
      </c>
      <c r="S620" s="9">
        <v>1</v>
      </c>
      <c r="T620" s="9">
        <v>1</v>
      </c>
      <c r="U620" s="9">
        <v>0</v>
      </c>
      <c r="V620" s="9" t="s">
        <v>114</v>
      </c>
      <c r="W620" s="9">
        <v>0</v>
      </c>
      <c r="X620" s="9">
        <v>0</v>
      </c>
      <c r="Y620" s="9">
        <v>0</v>
      </c>
      <c r="Z620" s="9">
        <v>0</v>
      </c>
      <c r="AA620" s="9">
        <v>4</v>
      </c>
      <c r="AB620" s="9">
        <v>4</v>
      </c>
      <c r="AC620" s="9">
        <v>14</v>
      </c>
      <c r="AD620" s="9" t="s">
        <v>0</v>
      </c>
      <c r="AE620" s="9" t="s">
        <v>0</v>
      </c>
    </row>
    <row r="621" spans="1:31" ht="25.5" x14ac:dyDescent="0.2">
      <c r="A621" s="8" t="str">
        <f>HYPERLINK("http://www.patentics.cn/invokexml.do?sx=showpatent_cn&amp;sf=ShowPatent&amp;spn=CN101834615B&amp;sx=showpatent_cn&amp;sv=3028f3c88d2c4c397cd2f6d316c75d76","CN101834615B")</f>
        <v>CN101834615B</v>
      </c>
      <c r="B621" s="9" t="s">
        <v>3080</v>
      </c>
      <c r="C621" s="9" t="s">
        <v>3081</v>
      </c>
      <c r="D621" s="9" t="s">
        <v>3082</v>
      </c>
      <c r="E621" s="9" t="s">
        <v>301</v>
      </c>
      <c r="F621" s="9" t="s">
        <v>3083</v>
      </c>
      <c r="G621" s="9" t="s">
        <v>3084</v>
      </c>
      <c r="H621" s="9" t="s">
        <v>3085</v>
      </c>
      <c r="I621" s="9" t="s">
        <v>3085</v>
      </c>
      <c r="J621" s="9" t="s">
        <v>1751</v>
      </c>
      <c r="K621" s="9" t="s">
        <v>1529</v>
      </c>
      <c r="L621" s="9" t="s">
        <v>3086</v>
      </c>
      <c r="M621" s="9">
        <v>3</v>
      </c>
      <c r="N621" s="9">
        <v>35</v>
      </c>
      <c r="O621" s="9" t="s">
        <v>57</v>
      </c>
      <c r="P621" s="9" t="s">
        <v>43</v>
      </c>
      <c r="Q621" s="9">
        <v>4</v>
      </c>
      <c r="R621" s="9">
        <v>0</v>
      </c>
      <c r="S621" s="9">
        <v>4</v>
      </c>
      <c r="T621" s="9">
        <v>3</v>
      </c>
      <c r="U621" s="9">
        <v>0</v>
      </c>
      <c r="V621" s="9" t="s">
        <v>114</v>
      </c>
      <c r="W621" s="9">
        <v>0</v>
      </c>
      <c r="X621" s="9">
        <v>0</v>
      </c>
      <c r="Y621" s="9">
        <v>0</v>
      </c>
      <c r="Z621" s="9">
        <v>0</v>
      </c>
      <c r="AA621" s="9">
        <v>1</v>
      </c>
      <c r="AB621" s="9">
        <v>1</v>
      </c>
      <c r="AC621" s="9">
        <v>14</v>
      </c>
      <c r="AD621" s="9" t="s">
        <v>0</v>
      </c>
      <c r="AE621" s="9" t="s">
        <v>532</v>
      </c>
    </row>
    <row r="622" spans="1:31" ht="25.5" x14ac:dyDescent="0.2">
      <c r="A622" s="6" t="str">
        <f>HYPERLINK("http://www.patentics.cn/invokexml.do?sx=showpatent_cn&amp;sf=ShowPatent&amp;spn=CN1291315&amp;sx=showpatent_cn&amp;sv=beb7c670893adbce9dcba55b657085ad","CN1291315")</f>
        <v>CN1291315</v>
      </c>
      <c r="B622" s="7" t="s">
        <v>3087</v>
      </c>
      <c r="C622" s="7" t="s">
        <v>3088</v>
      </c>
      <c r="D622" s="7" t="s">
        <v>3089</v>
      </c>
      <c r="E622" s="7" t="s">
        <v>3090</v>
      </c>
      <c r="F622" s="7" t="s">
        <v>3091</v>
      </c>
      <c r="G622" s="7" t="s">
        <v>3092</v>
      </c>
      <c r="H622" s="7" t="s">
        <v>3093</v>
      </c>
      <c r="I622" s="7" t="s">
        <v>3093</v>
      </c>
      <c r="J622" s="7" t="s">
        <v>3094</v>
      </c>
      <c r="K622" s="7" t="s">
        <v>529</v>
      </c>
      <c r="L622" s="7" t="s">
        <v>3095</v>
      </c>
      <c r="M622" s="7">
        <v>20</v>
      </c>
      <c r="N622" s="7">
        <v>15</v>
      </c>
      <c r="O622" s="7" t="s">
        <v>42</v>
      </c>
      <c r="P622" s="7" t="s">
        <v>58</v>
      </c>
      <c r="Q622" s="7">
        <v>0</v>
      </c>
      <c r="R622" s="7">
        <v>0</v>
      </c>
      <c r="S622" s="7">
        <v>0</v>
      </c>
      <c r="T622" s="7">
        <v>0</v>
      </c>
      <c r="U622" s="7">
        <v>8</v>
      </c>
      <c r="V622" s="7" t="s">
        <v>3096</v>
      </c>
      <c r="W622" s="7">
        <v>2</v>
      </c>
      <c r="X622" s="7">
        <v>6</v>
      </c>
      <c r="Y622" s="7">
        <v>5</v>
      </c>
      <c r="Z622" s="7">
        <v>2</v>
      </c>
      <c r="AA622" s="7">
        <v>30</v>
      </c>
      <c r="AB622" s="7">
        <v>7</v>
      </c>
      <c r="AC622" s="7" t="s">
        <v>0</v>
      </c>
      <c r="AD622" s="7">
        <v>3</v>
      </c>
      <c r="AE622" s="7" t="s">
        <v>60</v>
      </c>
    </row>
    <row r="623" spans="1:31" ht="89.25" x14ac:dyDescent="0.2">
      <c r="A623" s="8" t="str">
        <f>HYPERLINK("http://www.patentics.cn/invokexml.do?sx=showpatent_cn&amp;sf=ShowPatent&amp;spn=US8019175&amp;sx=showpatent_cn&amp;sv=a3f1d85bc63fdd0cf7e82ec02ff948df","US8019175")</f>
        <v>US8019175</v>
      </c>
      <c r="B623" s="9" t="s">
        <v>3097</v>
      </c>
      <c r="C623" s="9" t="s">
        <v>3098</v>
      </c>
      <c r="D623" s="9" t="s">
        <v>48</v>
      </c>
      <c r="E623" s="9" t="s">
        <v>49</v>
      </c>
      <c r="F623" s="9" t="s">
        <v>3099</v>
      </c>
      <c r="G623" s="9" t="s">
        <v>3100</v>
      </c>
      <c r="H623" s="9" t="s">
        <v>339</v>
      </c>
      <c r="I623" s="9" t="s">
        <v>3101</v>
      </c>
      <c r="J623" s="9" t="s">
        <v>696</v>
      </c>
      <c r="K623" s="9" t="s">
        <v>529</v>
      </c>
      <c r="L623" s="9" t="s">
        <v>3102</v>
      </c>
      <c r="M623" s="9">
        <v>54</v>
      </c>
      <c r="N623" s="9">
        <v>10</v>
      </c>
      <c r="O623" s="9" t="s">
        <v>57</v>
      </c>
      <c r="P623" s="9" t="s">
        <v>58</v>
      </c>
      <c r="Q623" s="9">
        <v>25</v>
      </c>
      <c r="R623" s="9">
        <v>0</v>
      </c>
      <c r="S623" s="9">
        <v>25</v>
      </c>
      <c r="T623" s="9">
        <v>17</v>
      </c>
      <c r="U623" s="9">
        <v>29</v>
      </c>
      <c r="V623" s="9" t="s">
        <v>3103</v>
      </c>
      <c r="W623" s="9">
        <v>1</v>
      </c>
      <c r="X623" s="9">
        <v>28</v>
      </c>
      <c r="Y623" s="9">
        <v>9</v>
      </c>
      <c r="Z623" s="9">
        <v>2</v>
      </c>
      <c r="AA623" s="9">
        <v>30</v>
      </c>
      <c r="AB623" s="9">
        <v>9</v>
      </c>
      <c r="AC623" s="9">
        <v>14</v>
      </c>
      <c r="AD623" s="9" t="s">
        <v>0</v>
      </c>
      <c r="AE623" s="9" t="s">
        <v>60</v>
      </c>
    </row>
    <row r="624" spans="1:31" ht="89.25" x14ac:dyDescent="0.2">
      <c r="A624" s="8" t="str">
        <f>HYPERLINK("http://www.patentics.cn/invokexml.do?sx=showpatent_cn&amp;sf=ShowPatent&amp;spn=US8977063&amp;sx=showpatent_cn&amp;sv=0139daaa05c6e748bc7dcf6437fbde50","US8977063")</f>
        <v>US8977063</v>
      </c>
      <c r="B624" s="9" t="s">
        <v>3104</v>
      </c>
      <c r="C624" s="9" t="s">
        <v>3105</v>
      </c>
      <c r="D624" s="9" t="s">
        <v>117</v>
      </c>
      <c r="E624" s="9" t="s">
        <v>49</v>
      </c>
      <c r="F624" s="9" t="s">
        <v>3099</v>
      </c>
      <c r="G624" s="9" t="s">
        <v>3100</v>
      </c>
      <c r="H624" s="9" t="s">
        <v>339</v>
      </c>
      <c r="I624" s="9" t="s">
        <v>3101</v>
      </c>
      <c r="J624" s="9" t="s">
        <v>1536</v>
      </c>
      <c r="K624" s="9" t="s">
        <v>529</v>
      </c>
      <c r="L624" s="9" t="s">
        <v>3095</v>
      </c>
      <c r="M624" s="9">
        <v>44</v>
      </c>
      <c r="N624" s="9">
        <v>9</v>
      </c>
      <c r="O624" s="9" t="s">
        <v>57</v>
      </c>
      <c r="P624" s="9" t="s">
        <v>58</v>
      </c>
      <c r="Q624" s="9">
        <v>30</v>
      </c>
      <c r="R624" s="9">
        <v>1</v>
      </c>
      <c r="S624" s="9">
        <v>29</v>
      </c>
      <c r="T624" s="9">
        <v>21</v>
      </c>
      <c r="U624" s="9">
        <v>10</v>
      </c>
      <c r="V624" s="9" t="s">
        <v>3106</v>
      </c>
      <c r="W624" s="9">
        <v>2</v>
      </c>
      <c r="X624" s="9">
        <v>8</v>
      </c>
      <c r="Y624" s="9">
        <v>2</v>
      </c>
      <c r="Z624" s="9">
        <v>1</v>
      </c>
      <c r="AA624" s="9">
        <v>30</v>
      </c>
      <c r="AB624" s="9">
        <v>9</v>
      </c>
      <c r="AC624" s="9">
        <v>14</v>
      </c>
      <c r="AD624" s="9" t="s">
        <v>0</v>
      </c>
      <c r="AE624" s="9" t="s">
        <v>60</v>
      </c>
    </row>
    <row r="625" spans="1:31" ht="51" x14ac:dyDescent="0.2">
      <c r="A625" s="8" t="str">
        <f>HYPERLINK("http://www.patentics.cn/invokexml.do?sx=showpatent_cn&amp;sf=ShowPatent&amp;spn=CN101171841B&amp;sx=showpatent_cn&amp;sv=e33dfc4274135d559f2c64b0d09d095b","CN101171841B")</f>
        <v>CN101171841B</v>
      </c>
      <c r="B625" s="9" t="s">
        <v>3107</v>
      </c>
      <c r="C625" s="9" t="s">
        <v>3108</v>
      </c>
      <c r="D625" s="9" t="s">
        <v>301</v>
      </c>
      <c r="E625" s="9" t="s">
        <v>301</v>
      </c>
      <c r="F625" s="9" t="s">
        <v>3109</v>
      </c>
      <c r="G625" s="9" t="s">
        <v>3110</v>
      </c>
      <c r="H625" s="9" t="s">
        <v>339</v>
      </c>
      <c r="I625" s="9" t="s">
        <v>3111</v>
      </c>
      <c r="J625" s="9" t="s">
        <v>1674</v>
      </c>
      <c r="K625" s="9" t="s">
        <v>714</v>
      </c>
      <c r="L625" s="9" t="s">
        <v>1346</v>
      </c>
      <c r="M625" s="9">
        <v>26</v>
      </c>
      <c r="N625" s="9">
        <v>11</v>
      </c>
      <c r="O625" s="9" t="s">
        <v>57</v>
      </c>
      <c r="P625" s="9" t="s">
        <v>58</v>
      </c>
      <c r="Q625" s="9">
        <v>2</v>
      </c>
      <c r="R625" s="9">
        <v>0</v>
      </c>
      <c r="S625" s="9">
        <v>2</v>
      </c>
      <c r="T625" s="9">
        <v>2</v>
      </c>
      <c r="U625" s="9">
        <v>0</v>
      </c>
      <c r="V625" s="9" t="s">
        <v>114</v>
      </c>
      <c r="W625" s="9">
        <v>0</v>
      </c>
      <c r="X625" s="9">
        <v>0</v>
      </c>
      <c r="Y625" s="9">
        <v>0</v>
      </c>
      <c r="Z625" s="9">
        <v>0</v>
      </c>
      <c r="AA625" s="9">
        <v>30</v>
      </c>
      <c r="AB625" s="9">
        <v>9</v>
      </c>
      <c r="AC625" s="9">
        <v>14</v>
      </c>
      <c r="AD625" s="9" t="s">
        <v>0</v>
      </c>
      <c r="AE625" s="9" t="s">
        <v>60</v>
      </c>
    </row>
    <row r="626" spans="1:31" ht="63.75" x14ac:dyDescent="0.2">
      <c r="A626" s="6" t="str">
        <f>HYPERLINK("http://www.patentics.cn/invokexml.do?sx=showpatent_cn&amp;sf=ShowPatent&amp;spn=CN104181972&amp;sx=showpatent_cn&amp;sv=2aa3c4b442be4d2d04b80b2144d1415e","CN104181972")</f>
        <v>CN104181972</v>
      </c>
      <c r="B626" s="7" t="s">
        <v>3112</v>
      </c>
      <c r="C626" s="7" t="s">
        <v>3113</v>
      </c>
      <c r="D626" s="7" t="s">
        <v>35</v>
      </c>
      <c r="E626" s="7" t="s">
        <v>35</v>
      </c>
      <c r="F626" s="7" t="s">
        <v>3114</v>
      </c>
      <c r="G626" s="7" t="s">
        <v>3115</v>
      </c>
      <c r="H626" s="7" t="s">
        <v>3116</v>
      </c>
      <c r="I626" s="7" t="s">
        <v>3116</v>
      </c>
      <c r="J626" s="7" t="s">
        <v>427</v>
      </c>
      <c r="K626" s="7" t="s">
        <v>3117</v>
      </c>
      <c r="L626" s="7" t="s">
        <v>3118</v>
      </c>
      <c r="M626" s="7">
        <v>1</v>
      </c>
      <c r="N626" s="7">
        <v>32</v>
      </c>
      <c r="O626" s="7" t="s">
        <v>42</v>
      </c>
      <c r="P626" s="7" t="s">
        <v>43</v>
      </c>
      <c r="Q626" s="7">
        <v>4</v>
      </c>
      <c r="R626" s="7">
        <v>1</v>
      </c>
      <c r="S626" s="7">
        <v>3</v>
      </c>
      <c r="T626" s="7">
        <v>4</v>
      </c>
      <c r="U626" s="7">
        <v>2</v>
      </c>
      <c r="V626" s="7" t="s">
        <v>955</v>
      </c>
      <c r="W626" s="7">
        <v>0</v>
      </c>
      <c r="X626" s="7">
        <v>2</v>
      </c>
      <c r="Y626" s="7">
        <v>1</v>
      </c>
      <c r="Z626" s="7">
        <v>2</v>
      </c>
      <c r="AA626" s="7">
        <v>1</v>
      </c>
      <c r="AB626" s="7">
        <v>1</v>
      </c>
      <c r="AC626" s="7" t="s">
        <v>0</v>
      </c>
      <c r="AD626" s="7">
        <v>2</v>
      </c>
      <c r="AE626" s="7" t="s">
        <v>60</v>
      </c>
    </row>
    <row r="627" spans="1:31" ht="38.25" x14ac:dyDescent="0.2">
      <c r="A627" s="8" t="str">
        <f>HYPERLINK("http://www.patentics.cn/invokexml.do?sx=showpatent_cn&amp;sf=ShowPatent&amp;spn=US9684325&amp;sx=showpatent_cn&amp;sv=30b7d508be3f8adc044210016abc4faf","US9684325")</f>
        <v>US9684325</v>
      </c>
      <c r="B627" s="9" t="s">
        <v>3119</v>
      </c>
      <c r="C627" s="9" t="s">
        <v>3120</v>
      </c>
      <c r="D627" s="9" t="s">
        <v>48</v>
      </c>
      <c r="E627" s="9" t="s">
        <v>49</v>
      </c>
      <c r="F627" s="9" t="s">
        <v>3121</v>
      </c>
      <c r="G627" s="9" t="s">
        <v>3121</v>
      </c>
      <c r="H627" s="9" t="s">
        <v>3122</v>
      </c>
      <c r="I627" s="9" t="s">
        <v>3122</v>
      </c>
      <c r="J627" s="9" t="s">
        <v>1307</v>
      </c>
      <c r="K627" s="9" t="s">
        <v>3123</v>
      </c>
      <c r="L627" s="9" t="s">
        <v>3124</v>
      </c>
      <c r="M627" s="9">
        <v>23</v>
      </c>
      <c r="N627" s="9">
        <v>13</v>
      </c>
      <c r="O627" s="9" t="s">
        <v>57</v>
      </c>
      <c r="P627" s="9" t="s">
        <v>58</v>
      </c>
      <c r="Q627" s="9">
        <v>17</v>
      </c>
      <c r="R627" s="9">
        <v>0</v>
      </c>
      <c r="S627" s="9">
        <v>17</v>
      </c>
      <c r="T627" s="9">
        <v>10</v>
      </c>
      <c r="U627" s="9">
        <v>0</v>
      </c>
      <c r="V627" s="9" t="s">
        <v>114</v>
      </c>
      <c r="W627" s="9">
        <v>0</v>
      </c>
      <c r="X627" s="9">
        <v>0</v>
      </c>
      <c r="Y627" s="9">
        <v>0</v>
      </c>
      <c r="Z627" s="9">
        <v>0</v>
      </c>
      <c r="AA627" s="9">
        <v>1</v>
      </c>
      <c r="AB627" s="9">
        <v>2</v>
      </c>
      <c r="AC627" s="9">
        <v>14</v>
      </c>
      <c r="AD627" s="9" t="s">
        <v>0</v>
      </c>
      <c r="AE627" s="9" t="s">
        <v>60</v>
      </c>
    </row>
    <row r="628" spans="1:31" ht="38.25" x14ac:dyDescent="0.2">
      <c r="A628" s="8" t="str">
        <f>HYPERLINK("http://www.patentics.cn/invokexml.do?sx=showpatent_cn&amp;sf=ShowPatent&amp;spn=WO2017131906&amp;sx=showpatent_cn&amp;sv=5b8f614143352eff347b186d4cb316ac","WO2017131906")</f>
        <v>WO2017131906</v>
      </c>
      <c r="B628" s="9" t="s">
        <v>3125</v>
      </c>
      <c r="C628" s="9" t="s">
        <v>3120</v>
      </c>
      <c r="D628" s="9" t="s">
        <v>117</v>
      </c>
      <c r="E628" s="9" t="s">
        <v>49</v>
      </c>
      <c r="F628" s="9" t="s">
        <v>3126</v>
      </c>
      <c r="G628" s="9" t="s">
        <v>3126</v>
      </c>
      <c r="H628" s="9" t="s">
        <v>3122</v>
      </c>
      <c r="I628" s="9" t="s">
        <v>3127</v>
      </c>
      <c r="J628" s="9" t="s">
        <v>3128</v>
      </c>
      <c r="K628" s="9" t="s">
        <v>3117</v>
      </c>
      <c r="L628" s="9" t="s">
        <v>3129</v>
      </c>
      <c r="M628" s="9">
        <v>24</v>
      </c>
      <c r="N628" s="9">
        <v>11</v>
      </c>
      <c r="O628" s="9" t="s">
        <v>850</v>
      </c>
      <c r="P628" s="9" t="s">
        <v>58</v>
      </c>
      <c r="Q628" s="9">
        <v>6</v>
      </c>
      <c r="R628" s="9">
        <v>0</v>
      </c>
      <c r="S628" s="9">
        <v>6</v>
      </c>
      <c r="T628" s="9">
        <v>5</v>
      </c>
      <c r="U628" s="9">
        <v>0</v>
      </c>
      <c r="V628" s="9" t="s">
        <v>114</v>
      </c>
      <c r="W628" s="9">
        <v>0</v>
      </c>
      <c r="X628" s="9">
        <v>0</v>
      </c>
      <c r="Y628" s="9">
        <v>0</v>
      </c>
      <c r="Z628" s="9">
        <v>0</v>
      </c>
      <c r="AA628" s="9">
        <v>1</v>
      </c>
      <c r="AB628" s="9">
        <v>2</v>
      </c>
      <c r="AC628" s="9">
        <v>14</v>
      </c>
      <c r="AD628" s="9" t="s">
        <v>0</v>
      </c>
      <c r="AE628" s="9" t="s">
        <v>0</v>
      </c>
    </row>
    <row r="629" spans="1:31" ht="38.25" x14ac:dyDescent="0.2">
      <c r="A629" s="6" t="str">
        <f>HYPERLINK("http://www.patentics.cn/invokexml.do?sx=showpatent_cn&amp;sf=ShowPatent&amp;spn=CN103944796&amp;sx=showpatent_cn&amp;sv=9bc626a455c43e5a61f02f8b3e0d4cfc","CN103944796")</f>
        <v>CN103944796</v>
      </c>
      <c r="B629" s="7" t="s">
        <v>3130</v>
      </c>
      <c r="C629" s="7" t="s">
        <v>3131</v>
      </c>
      <c r="D629" s="7" t="s">
        <v>1097</v>
      </c>
      <c r="E629" s="7" t="s">
        <v>1097</v>
      </c>
      <c r="F629" s="7" t="s">
        <v>3132</v>
      </c>
      <c r="G629" s="7" t="s">
        <v>3133</v>
      </c>
      <c r="H629" s="7" t="s">
        <v>0</v>
      </c>
      <c r="I629" s="7" t="s">
        <v>3134</v>
      </c>
      <c r="J629" s="7" t="s">
        <v>2818</v>
      </c>
      <c r="K629" s="7" t="s">
        <v>68</v>
      </c>
      <c r="L629" s="7" t="s">
        <v>2488</v>
      </c>
      <c r="M629" s="7">
        <v>3</v>
      </c>
      <c r="N629" s="7">
        <v>33</v>
      </c>
      <c r="O629" s="7" t="s">
        <v>42</v>
      </c>
      <c r="P629" s="7" t="s">
        <v>43</v>
      </c>
      <c r="Q629" s="7">
        <v>0</v>
      </c>
      <c r="R629" s="7">
        <v>0</v>
      </c>
      <c r="S629" s="7">
        <v>0</v>
      </c>
      <c r="T629" s="7">
        <v>0</v>
      </c>
      <c r="U629" s="7">
        <v>4</v>
      </c>
      <c r="V629" s="7" t="s">
        <v>3135</v>
      </c>
      <c r="W629" s="7">
        <v>0</v>
      </c>
      <c r="X629" s="7">
        <v>4</v>
      </c>
      <c r="Y629" s="7">
        <v>3</v>
      </c>
      <c r="Z629" s="7">
        <v>1</v>
      </c>
      <c r="AA629" s="7">
        <v>0</v>
      </c>
      <c r="AB629" s="7">
        <v>0</v>
      </c>
      <c r="AC629" s="7" t="s">
        <v>0</v>
      </c>
      <c r="AD629" s="7">
        <v>2</v>
      </c>
      <c r="AE629" s="7" t="s">
        <v>45</v>
      </c>
    </row>
    <row r="630" spans="1:31" ht="51" x14ac:dyDescent="0.2">
      <c r="A630" s="8" t="str">
        <f>HYPERLINK("http://www.patentics.cn/invokexml.do?sx=showpatent_cn&amp;sf=ShowPatent&amp;spn=WO2016095115&amp;sx=showpatent_cn&amp;sv=4743364be3e3ed138354a24ec0b9d649","WO2016095115")</f>
        <v>WO2016095115</v>
      </c>
      <c r="B630" s="9" t="s">
        <v>3136</v>
      </c>
      <c r="C630" s="9" t="s">
        <v>3137</v>
      </c>
      <c r="D630" s="9" t="s">
        <v>117</v>
      </c>
      <c r="E630" s="9" t="s">
        <v>49</v>
      </c>
      <c r="F630" s="9" t="s">
        <v>3138</v>
      </c>
      <c r="G630" s="9" t="s">
        <v>3139</v>
      </c>
      <c r="H630" s="9" t="s">
        <v>1479</v>
      </c>
      <c r="I630" s="9" t="s">
        <v>1479</v>
      </c>
      <c r="J630" s="9" t="s">
        <v>3140</v>
      </c>
      <c r="K630" s="9" t="s">
        <v>55</v>
      </c>
      <c r="L630" s="9" t="s">
        <v>3141</v>
      </c>
      <c r="M630" s="9">
        <v>51</v>
      </c>
      <c r="N630" s="9">
        <v>0</v>
      </c>
      <c r="O630" s="9" t="s">
        <v>850</v>
      </c>
      <c r="P630" s="9" t="s">
        <v>43</v>
      </c>
      <c r="Q630" s="9">
        <v>6</v>
      </c>
      <c r="R630" s="9">
        <v>0</v>
      </c>
      <c r="S630" s="9">
        <v>6</v>
      </c>
      <c r="T630" s="9">
        <v>5</v>
      </c>
      <c r="U630" s="9">
        <v>0</v>
      </c>
      <c r="V630" s="9" t="s">
        <v>114</v>
      </c>
      <c r="W630" s="9">
        <v>0</v>
      </c>
      <c r="X630" s="9">
        <v>0</v>
      </c>
      <c r="Y630" s="9">
        <v>0</v>
      </c>
      <c r="Z630" s="9">
        <v>0</v>
      </c>
      <c r="AA630" s="9">
        <v>1</v>
      </c>
      <c r="AB630" s="9">
        <v>1</v>
      </c>
      <c r="AC630" s="9">
        <v>14</v>
      </c>
      <c r="AD630" s="9" t="s">
        <v>0</v>
      </c>
      <c r="AE630" s="9" t="s">
        <v>0</v>
      </c>
    </row>
    <row r="631" spans="1:31" ht="51" x14ac:dyDescent="0.2">
      <c r="A631" s="8" t="str">
        <f>HYPERLINK("http://www.patentics.cn/invokexml.do?sx=showpatent_cn&amp;sf=ShowPatent&amp;spn=WO2016095584&amp;sx=showpatent_cn&amp;sv=b904295d62640716bc725bde876eeaac","WO2016095584")</f>
        <v>WO2016095584</v>
      </c>
      <c r="B631" s="9" t="s">
        <v>3142</v>
      </c>
      <c r="C631" s="9" t="s">
        <v>3137</v>
      </c>
      <c r="D631" s="9" t="s">
        <v>117</v>
      </c>
      <c r="E631" s="9" t="s">
        <v>49</v>
      </c>
      <c r="F631" s="9" t="s">
        <v>3138</v>
      </c>
      <c r="G631" s="9" t="s">
        <v>3139</v>
      </c>
      <c r="H631" s="9" t="s">
        <v>1479</v>
      </c>
      <c r="I631" s="9" t="s">
        <v>3143</v>
      </c>
      <c r="J631" s="9" t="s">
        <v>3140</v>
      </c>
      <c r="K631" s="9" t="s">
        <v>55</v>
      </c>
      <c r="L631" s="9" t="s">
        <v>3141</v>
      </c>
      <c r="M631" s="9">
        <v>25</v>
      </c>
      <c r="N631" s="9">
        <v>0</v>
      </c>
      <c r="O631" s="9" t="s">
        <v>850</v>
      </c>
      <c r="P631" s="9" t="s">
        <v>43</v>
      </c>
      <c r="Q631" s="9">
        <v>5</v>
      </c>
      <c r="R631" s="9">
        <v>0</v>
      </c>
      <c r="S631" s="9">
        <v>5</v>
      </c>
      <c r="T631" s="9">
        <v>5</v>
      </c>
      <c r="U631" s="9">
        <v>0</v>
      </c>
      <c r="V631" s="9" t="s">
        <v>114</v>
      </c>
      <c r="W631" s="9">
        <v>0</v>
      </c>
      <c r="X631" s="9">
        <v>0</v>
      </c>
      <c r="Y631" s="9">
        <v>0</v>
      </c>
      <c r="Z631" s="9">
        <v>0</v>
      </c>
      <c r="AA631" s="9">
        <v>1</v>
      </c>
      <c r="AB631" s="9">
        <v>1</v>
      </c>
      <c r="AC631" s="9">
        <v>14</v>
      </c>
      <c r="AD631" s="9" t="s">
        <v>0</v>
      </c>
      <c r="AE631" s="9" t="s">
        <v>0</v>
      </c>
    </row>
    <row r="632" spans="1:31" ht="51" x14ac:dyDescent="0.2">
      <c r="A632" s="6" t="str">
        <f>HYPERLINK("http://www.patentics.cn/invokexml.do?sx=showpatent_cn&amp;sf=ShowPatent&amp;spn=CN103796004&amp;sx=showpatent_cn&amp;sv=a691b00190e956ca29463899552e2ccb","CN103796004")</f>
        <v>CN103796004</v>
      </c>
      <c r="B632" s="7" t="s">
        <v>3144</v>
      </c>
      <c r="C632" s="7" t="s">
        <v>3145</v>
      </c>
      <c r="D632" s="7" t="s">
        <v>3146</v>
      </c>
      <c r="E632" s="7" t="s">
        <v>3146</v>
      </c>
      <c r="F632" s="7" t="s">
        <v>3147</v>
      </c>
      <c r="G632" s="7" t="s">
        <v>3148</v>
      </c>
      <c r="H632" s="7" t="s">
        <v>3149</v>
      </c>
      <c r="I632" s="7" t="s">
        <v>3149</v>
      </c>
      <c r="J632" s="7" t="s">
        <v>2155</v>
      </c>
      <c r="K632" s="7" t="s">
        <v>714</v>
      </c>
      <c r="L632" s="7" t="s">
        <v>828</v>
      </c>
      <c r="M632" s="7">
        <v>10</v>
      </c>
      <c r="N632" s="7">
        <v>51</v>
      </c>
      <c r="O632" s="7" t="s">
        <v>42</v>
      </c>
      <c r="P632" s="7" t="s">
        <v>43</v>
      </c>
      <c r="Q632" s="7">
        <v>2</v>
      </c>
      <c r="R632" s="7">
        <v>1</v>
      </c>
      <c r="S632" s="7">
        <v>1</v>
      </c>
      <c r="T632" s="7">
        <v>2</v>
      </c>
      <c r="U632" s="7">
        <v>4</v>
      </c>
      <c r="V632" s="7" t="s">
        <v>3150</v>
      </c>
      <c r="W632" s="7">
        <v>0</v>
      </c>
      <c r="X632" s="7">
        <v>4</v>
      </c>
      <c r="Y632" s="7">
        <v>3</v>
      </c>
      <c r="Z632" s="7">
        <v>3</v>
      </c>
      <c r="AA632" s="7">
        <v>2</v>
      </c>
      <c r="AB632" s="7">
        <v>2</v>
      </c>
      <c r="AC632" s="7" t="s">
        <v>0</v>
      </c>
      <c r="AD632" s="7">
        <v>2</v>
      </c>
      <c r="AE632" s="7" t="s">
        <v>60</v>
      </c>
    </row>
    <row r="633" spans="1:31" ht="127.5" x14ac:dyDescent="0.2">
      <c r="A633" s="8" t="str">
        <f>HYPERLINK("http://www.patentics.cn/invokexml.do?sx=showpatent_cn&amp;sf=ShowPatent&amp;spn=US9635339&amp;sx=showpatent_cn&amp;sv=0f22587ea5b48de4b4f410ab6c02b999","US9635339")</f>
        <v>US9635339</v>
      </c>
      <c r="B633" s="9" t="s">
        <v>3151</v>
      </c>
      <c r="C633" s="9" t="s">
        <v>3152</v>
      </c>
      <c r="D633" s="9" t="s">
        <v>48</v>
      </c>
      <c r="E633" s="9" t="s">
        <v>49</v>
      </c>
      <c r="F633" s="9" t="s">
        <v>3153</v>
      </c>
      <c r="G633" s="9" t="s">
        <v>3154</v>
      </c>
      <c r="H633" s="9" t="s">
        <v>3155</v>
      </c>
      <c r="I633" s="9" t="s">
        <v>3155</v>
      </c>
      <c r="J633" s="9" t="s">
        <v>1695</v>
      </c>
      <c r="K633" s="9" t="s">
        <v>1529</v>
      </c>
      <c r="L633" s="9" t="s">
        <v>3063</v>
      </c>
      <c r="M633" s="9">
        <v>30</v>
      </c>
      <c r="N633" s="9">
        <v>19</v>
      </c>
      <c r="O633" s="9" t="s">
        <v>57</v>
      </c>
      <c r="P633" s="9" t="s">
        <v>58</v>
      </c>
      <c r="Q633" s="9">
        <v>56</v>
      </c>
      <c r="R633" s="9">
        <v>10</v>
      </c>
      <c r="S633" s="9">
        <v>46</v>
      </c>
      <c r="T633" s="9">
        <v>38</v>
      </c>
      <c r="U633" s="9">
        <v>0</v>
      </c>
      <c r="V633" s="9" t="s">
        <v>114</v>
      </c>
      <c r="W633" s="9">
        <v>0</v>
      </c>
      <c r="X633" s="9">
        <v>0</v>
      </c>
      <c r="Y633" s="9">
        <v>0</v>
      </c>
      <c r="Z633" s="9">
        <v>0</v>
      </c>
      <c r="AA633" s="9">
        <v>2</v>
      </c>
      <c r="AB633" s="9">
        <v>2</v>
      </c>
      <c r="AC633" s="9">
        <v>14</v>
      </c>
      <c r="AD633" s="9" t="s">
        <v>0</v>
      </c>
      <c r="AE633" s="9" t="s">
        <v>60</v>
      </c>
    </row>
    <row r="634" spans="1:31" ht="76.5" x14ac:dyDescent="0.2">
      <c r="A634" s="8" t="str">
        <f>HYPERLINK("http://www.patentics.cn/invokexml.do?sx=showpatent_cn&amp;sf=ShowPatent&amp;spn=WO2016144533&amp;sx=showpatent_cn&amp;sv=95a4ba96887c9f72f05a0175eba6cb46","WO2016144533")</f>
        <v>WO2016144533</v>
      </c>
      <c r="B634" s="9" t="s">
        <v>3156</v>
      </c>
      <c r="C634" s="9" t="s">
        <v>3157</v>
      </c>
      <c r="D634" s="9" t="s">
        <v>117</v>
      </c>
      <c r="E634" s="9" t="s">
        <v>49</v>
      </c>
      <c r="F634" s="9" t="s">
        <v>3158</v>
      </c>
      <c r="G634" s="9" t="s">
        <v>3159</v>
      </c>
      <c r="H634" s="9" t="s">
        <v>0</v>
      </c>
      <c r="I634" s="9" t="s">
        <v>3160</v>
      </c>
      <c r="J634" s="9" t="s">
        <v>3161</v>
      </c>
      <c r="K634" s="9" t="s">
        <v>2163</v>
      </c>
      <c r="L634" s="9" t="s">
        <v>3162</v>
      </c>
      <c r="M634" s="9">
        <v>29</v>
      </c>
      <c r="N634" s="9">
        <v>16</v>
      </c>
      <c r="O634" s="9" t="s">
        <v>850</v>
      </c>
      <c r="P634" s="9" t="s">
        <v>1932</v>
      </c>
      <c r="Q634" s="9">
        <v>6</v>
      </c>
      <c r="R634" s="9">
        <v>0</v>
      </c>
      <c r="S634" s="9">
        <v>6</v>
      </c>
      <c r="T634" s="9">
        <v>5</v>
      </c>
      <c r="U634" s="9">
        <v>0</v>
      </c>
      <c r="V634" s="9" t="s">
        <v>114</v>
      </c>
      <c r="W634" s="9">
        <v>0</v>
      </c>
      <c r="X634" s="9">
        <v>0</v>
      </c>
      <c r="Y634" s="9">
        <v>0</v>
      </c>
      <c r="Z634" s="9">
        <v>0</v>
      </c>
      <c r="AA634" s="9">
        <v>0</v>
      </c>
      <c r="AB634" s="9">
        <v>0</v>
      </c>
      <c r="AC634" s="9">
        <v>14</v>
      </c>
      <c r="AD634" s="9" t="s">
        <v>0</v>
      </c>
      <c r="AE634" s="9" t="s">
        <v>0</v>
      </c>
    </row>
    <row r="635" spans="1:31" ht="63.75" x14ac:dyDescent="0.2">
      <c r="A635" s="6" t="str">
        <f>HYPERLINK("http://www.patentics.cn/invokexml.do?sx=showpatent_cn&amp;sf=ShowPatent&amp;spn=CN103424609&amp;sx=showpatent_cn&amp;sv=ed53835435df129538939ad8be1a0057","CN103424609")</f>
        <v>CN103424609</v>
      </c>
      <c r="B635" s="7" t="s">
        <v>3163</v>
      </c>
      <c r="C635" s="7" t="s">
        <v>3164</v>
      </c>
      <c r="D635" s="7" t="s">
        <v>35</v>
      </c>
      <c r="E635" s="7" t="s">
        <v>35</v>
      </c>
      <c r="F635" s="7" t="s">
        <v>3165</v>
      </c>
      <c r="G635" s="7" t="s">
        <v>3166</v>
      </c>
      <c r="H635" s="7" t="s">
        <v>3167</v>
      </c>
      <c r="I635" s="7" t="s">
        <v>3167</v>
      </c>
      <c r="J635" s="7" t="s">
        <v>3168</v>
      </c>
      <c r="K635" s="7" t="s">
        <v>2217</v>
      </c>
      <c r="L635" s="7" t="s">
        <v>3169</v>
      </c>
      <c r="M635" s="7">
        <v>4</v>
      </c>
      <c r="N635" s="7">
        <v>23</v>
      </c>
      <c r="O635" s="7" t="s">
        <v>42</v>
      </c>
      <c r="P635" s="7" t="s">
        <v>43</v>
      </c>
      <c r="Q635" s="7">
        <v>5</v>
      </c>
      <c r="R635" s="7">
        <v>1</v>
      </c>
      <c r="S635" s="7">
        <v>4</v>
      </c>
      <c r="T635" s="7">
        <v>5</v>
      </c>
      <c r="U635" s="7">
        <v>2</v>
      </c>
      <c r="V635" s="7" t="s">
        <v>2466</v>
      </c>
      <c r="W635" s="7">
        <v>0</v>
      </c>
      <c r="X635" s="7">
        <v>2</v>
      </c>
      <c r="Y635" s="7">
        <v>1</v>
      </c>
      <c r="Z635" s="7">
        <v>2</v>
      </c>
      <c r="AA635" s="7">
        <v>1</v>
      </c>
      <c r="AB635" s="7">
        <v>1</v>
      </c>
      <c r="AC635" s="7" t="s">
        <v>0</v>
      </c>
      <c r="AD635" s="7">
        <v>2</v>
      </c>
      <c r="AE635" s="7" t="s">
        <v>532</v>
      </c>
    </row>
    <row r="636" spans="1:31" ht="38.25" x14ac:dyDescent="0.2">
      <c r="A636" s="8" t="str">
        <f>HYPERLINK("http://www.patentics.cn/invokexml.do?sx=showpatent_cn&amp;sf=ShowPatent&amp;spn=US9755514&amp;sx=showpatent_cn&amp;sv=de2947425c1748790c1de43f3a377a60","US9755514")</f>
        <v>US9755514</v>
      </c>
      <c r="B636" s="9" t="s">
        <v>3170</v>
      </c>
      <c r="C636" s="9" t="s">
        <v>3171</v>
      </c>
      <c r="D636" s="9" t="s">
        <v>48</v>
      </c>
      <c r="E636" s="9" t="s">
        <v>49</v>
      </c>
      <c r="F636" s="9" t="s">
        <v>3172</v>
      </c>
      <c r="G636" s="9" t="s">
        <v>3173</v>
      </c>
      <c r="H636" s="9" t="s">
        <v>3174</v>
      </c>
      <c r="I636" s="9" t="s">
        <v>1359</v>
      </c>
      <c r="J636" s="9" t="s">
        <v>1338</v>
      </c>
      <c r="K636" s="9" t="s">
        <v>3123</v>
      </c>
      <c r="L636" s="9" t="s">
        <v>3175</v>
      </c>
      <c r="M636" s="9">
        <v>20</v>
      </c>
      <c r="N636" s="9">
        <v>17</v>
      </c>
      <c r="O636" s="9" t="s">
        <v>57</v>
      </c>
      <c r="P636" s="9" t="s">
        <v>58</v>
      </c>
      <c r="Q636" s="9">
        <v>14</v>
      </c>
      <c r="R636" s="9">
        <v>2</v>
      </c>
      <c r="S636" s="9">
        <v>12</v>
      </c>
      <c r="T636" s="9">
        <v>11</v>
      </c>
      <c r="U636" s="9">
        <v>0</v>
      </c>
      <c r="V636" s="9" t="s">
        <v>114</v>
      </c>
      <c r="W636" s="9">
        <v>0</v>
      </c>
      <c r="X636" s="9">
        <v>0</v>
      </c>
      <c r="Y636" s="9">
        <v>0</v>
      </c>
      <c r="Z636" s="9">
        <v>0</v>
      </c>
      <c r="AA636" s="9">
        <v>2</v>
      </c>
      <c r="AB636" s="9">
        <v>2</v>
      </c>
      <c r="AC636" s="9">
        <v>14</v>
      </c>
      <c r="AD636" s="9" t="s">
        <v>0</v>
      </c>
      <c r="AE636" s="9" t="s">
        <v>60</v>
      </c>
    </row>
    <row r="637" spans="1:31" ht="38.25" x14ac:dyDescent="0.2">
      <c r="A637" s="8" t="str">
        <f>HYPERLINK("http://www.patentics.cn/invokexml.do?sx=showpatent_cn&amp;sf=ShowPatent&amp;spn=WO2016153801&amp;sx=showpatent_cn&amp;sv=51ef39946f072d839fa01c5c84498baf","WO2016153801")</f>
        <v>WO2016153801</v>
      </c>
      <c r="B637" s="9" t="s">
        <v>3176</v>
      </c>
      <c r="C637" s="9" t="s">
        <v>3177</v>
      </c>
      <c r="D637" s="9" t="s">
        <v>117</v>
      </c>
      <c r="E637" s="9" t="s">
        <v>49</v>
      </c>
      <c r="F637" s="9" t="s">
        <v>3178</v>
      </c>
      <c r="G637" s="9" t="s">
        <v>3179</v>
      </c>
      <c r="H637" s="9" t="s">
        <v>3174</v>
      </c>
      <c r="I637" s="9" t="s">
        <v>3180</v>
      </c>
      <c r="J637" s="9" t="s">
        <v>3181</v>
      </c>
      <c r="K637" s="9" t="s">
        <v>3123</v>
      </c>
      <c r="L637" s="9" t="s">
        <v>3175</v>
      </c>
      <c r="M637" s="9">
        <v>20</v>
      </c>
      <c r="N637" s="9">
        <v>19</v>
      </c>
      <c r="O637" s="9" t="s">
        <v>850</v>
      </c>
      <c r="P637" s="9" t="s">
        <v>58</v>
      </c>
      <c r="Q637" s="9">
        <v>2</v>
      </c>
      <c r="R637" s="9">
        <v>0</v>
      </c>
      <c r="S637" s="9">
        <v>2</v>
      </c>
      <c r="T637" s="9">
        <v>2</v>
      </c>
      <c r="U637" s="9">
        <v>0</v>
      </c>
      <c r="V637" s="9" t="s">
        <v>114</v>
      </c>
      <c r="W637" s="9">
        <v>0</v>
      </c>
      <c r="X637" s="9">
        <v>0</v>
      </c>
      <c r="Y637" s="9">
        <v>0</v>
      </c>
      <c r="Z637" s="9">
        <v>0</v>
      </c>
      <c r="AA637" s="9">
        <v>2</v>
      </c>
      <c r="AB637" s="9">
        <v>2</v>
      </c>
      <c r="AC637" s="9">
        <v>14</v>
      </c>
      <c r="AD637" s="9" t="s">
        <v>0</v>
      </c>
      <c r="AE637" s="9" t="s">
        <v>0</v>
      </c>
    </row>
    <row r="638" spans="1:31" ht="51" x14ac:dyDescent="0.2">
      <c r="A638" s="6" t="str">
        <f>HYPERLINK("http://www.patentics.cn/invokexml.do?sx=showpatent_cn&amp;sf=ShowPatent&amp;spn=CN103179405&amp;sx=showpatent_cn&amp;sv=d5c126134a0a8816b766ea978d8a2d25","CN103179405")</f>
        <v>CN103179405</v>
      </c>
      <c r="B638" s="7" t="s">
        <v>3182</v>
      </c>
      <c r="C638" s="7" t="s">
        <v>3183</v>
      </c>
      <c r="D638" s="7" t="s">
        <v>3184</v>
      </c>
      <c r="E638" s="7" t="s">
        <v>3184</v>
      </c>
      <c r="F638" s="7" t="s">
        <v>3185</v>
      </c>
      <c r="G638" s="7" t="s">
        <v>3186</v>
      </c>
      <c r="H638" s="7" t="s">
        <v>0</v>
      </c>
      <c r="I638" s="7" t="s">
        <v>2779</v>
      </c>
      <c r="J638" s="7" t="s">
        <v>3187</v>
      </c>
      <c r="K638" s="7" t="s">
        <v>714</v>
      </c>
      <c r="L638" s="7" t="s">
        <v>1346</v>
      </c>
      <c r="M638" s="7">
        <v>7</v>
      </c>
      <c r="N638" s="7">
        <v>18</v>
      </c>
      <c r="O638" s="7" t="s">
        <v>42</v>
      </c>
      <c r="P638" s="7" t="s">
        <v>43</v>
      </c>
      <c r="Q638" s="7">
        <v>6</v>
      </c>
      <c r="R638" s="7">
        <v>0</v>
      </c>
      <c r="S638" s="7">
        <v>6</v>
      </c>
      <c r="T638" s="7">
        <v>6</v>
      </c>
      <c r="U638" s="7">
        <v>3</v>
      </c>
      <c r="V638" s="7" t="s">
        <v>3188</v>
      </c>
      <c r="W638" s="7">
        <v>0</v>
      </c>
      <c r="X638" s="7">
        <v>3</v>
      </c>
      <c r="Y638" s="7">
        <v>2</v>
      </c>
      <c r="Z638" s="7">
        <v>2</v>
      </c>
      <c r="AA638" s="7">
        <v>0</v>
      </c>
      <c r="AB638" s="7">
        <v>0</v>
      </c>
      <c r="AC638" s="7" t="s">
        <v>0</v>
      </c>
      <c r="AD638" s="7">
        <v>2</v>
      </c>
      <c r="AE638" s="7" t="s">
        <v>60</v>
      </c>
    </row>
    <row r="639" spans="1:31" ht="165.75" x14ac:dyDescent="0.2">
      <c r="A639" s="8" t="str">
        <f>HYPERLINK("http://www.patentics.cn/invokexml.do?sx=showpatent_cn&amp;sf=ShowPatent&amp;spn=US9589595&amp;sx=showpatent_cn&amp;sv=c74ab7d67b59126c2b1512eed797dad2","US9589595")</f>
        <v>US9589595</v>
      </c>
      <c r="B639" s="9" t="s">
        <v>3189</v>
      </c>
      <c r="C639" s="9" t="s">
        <v>3190</v>
      </c>
      <c r="D639" s="9" t="s">
        <v>48</v>
      </c>
      <c r="E639" s="9" t="s">
        <v>49</v>
      </c>
      <c r="F639" s="9" t="s">
        <v>3191</v>
      </c>
      <c r="G639" s="9" t="s">
        <v>3192</v>
      </c>
      <c r="H639" s="9" t="s">
        <v>3193</v>
      </c>
      <c r="I639" s="9" t="s">
        <v>2233</v>
      </c>
      <c r="J639" s="9" t="s">
        <v>3194</v>
      </c>
      <c r="K639" s="9" t="s">
        <v>182</v>
      </c>
      <c r="L639" s="9" t="s">
        <v>3195</v>
      </c>
      <c r="M639" s="9">
        <v>30</v>
      </c>
      <c r="N639" s="9">
        <v>6</v>
      </c>
      <c r="O639" s="9" t="s">
        <v>57</v>
      </c>
      <c r="P639" s="9" t="s">
        <v>58</v>
      </c>
      <c r="Q639" s="9">
        <v>82</v>
      </c>
      <c r="R639" s="9">
        <v>6</v>
      </c>
      <c r="S639" s="9">
        <v>76</v>
      </c>
      <c r="T639" s="9">
        <v>47</v>
      </c>
      <c r="U639" s="9">
        <v>0</v>
      </c>
      <c r="V639" s="9" t="s">
        <v>114</v>
      </c>
      <c r="W639" s="9">
        <v>0</v>
      </c>
      <c r="X639" s="9">
        <v>0</v>
      </c>
      <c r="Y639" s="9">
        <v>0</v>
      </c>
      <c r="Z639" s="9">
        <v>0</v>
      </c>
      <c r="AA639" s="9">
        <v>31</v>
      </c>
      <c r="AB639" s="9">
        <v>6</v>
      </c>
      <c r="AC639" s="9">
        <v>14</v>
      </c>
      <c r="AD639" s="9" t="s">
        <v>0</v>
      </c>
      <c r="AE639" s="9" t="s">
        <v>60</v>
      </c>
    </row>
    <row r="640" spans="1:31" ht="153" x14ac:dyDescent="0.2">
      <c r="A640" s="8" t="str">
        <f>HYPERLINK("http://www.patentics.cn/invokexml.do?sx=showpatent_cn&amp;sf=ShowPatent&amp;spn=US9607015&amp;sx=showpatent_cn&amp;sv=a114fc9508a87912dad4b9eeafbf6ed8","US9607015")</f>
        <v>US9607015</v>
      </c>
      <c r="B640" s="9" t="s">
        <v>3196</v>
      </c>
      <c r="C640" s="9" t="s">
        <v>3197</v>
      </c>
      <c r="D640" s="9" t="s">
        <v>48</v>
      </c>
      <c r="E640" s="9" t="s">
        <v>49</v>
      </c>
      <c r="F640" s="9" t="s">
        <v>3198</v>
      </c>
      <c r="G640" s="9" t="s">
        <v>3192</v>
      </c>
      <c r="H640" s="9" t="s">
        <v>3193</v>
      </c>
      <c r="I640" s="9" t="s">
        <v>2233</v>
      </c>
      <c r="J640" s="9" t="s">
        <v>1215</v>
      </c>
      <c r="K640" s="9" t="s">
        <v>529</v>
      </c>
      <c r="L640" s="9" t="s">
        <v>1432</v>
      </c>
      <c r="M640" s="9">
        <v>30</v>
      </c>
      <c r="N640" s="9">
        <v>13</v>
      </c>
      <c r="O640" s="9" t="s">
        <v>57</v>
      </c>
      <c r="P640" s="9" t="s">
        <v>58</v>
      </c>
      <c r="Q640" s="9">
        <v>86</v>
      </c>
      <c r="R640" s="9">
        <v>7</v>
      </c>
      <c r="S640" s="9">
        <v>79</v>
      </c>
      <c r="T640" s="9">
        <v>47</v>
      </c>
      <c r="U640" s="9">
        <v>0</v>
      </c>
      <c r="V640" s="9" t="s">
        <v>114</v>
      </c>
      <c r="W640" s="9">
        <v>0</v>
      </c>
      <c r="X640" s="9">
        <v>0</v>
      </c>
      <c r="Y640" s="9">
        <v>0</v>
      </c>
      <c r="Z640" s="9">
        <v>0</v>
      </c>
      <c r="AA640" s="9">
        <v>31</v>
      </c>
      <c r="AB640" s="9">
        <v>6</v>
      </c>
      <c r="AC640" s="9">
        <v>14</v>
      </c>
      <c r="AD640" s="9" t="s">
        <v>0</v>
      </c>
      <c r="AE640" s="9" t="s">
        <v>60</v>
      </c>
    </row>
    <row r="641" spans="1:31" ht="102" x14ac:dyDescent="0.2">
      <c r="A641" s="6" t="str">
        <f>HYPERLINK("http://www.patentics.cn/invokexml.do?sx=showpatent_cn&amp;sf=ShowPatent&amp;spn=CN103023467&amp;sx=showpatent_cn&amp;sv=608937d4f9cfdcdeaf5eba653116de1c","CN103023467")</f>
        <v>CN103023467</v>
      </c>
      <c r="B641" s="7" t="s">
        <v>3199</v>
      </c>
      <c r="C641" s="7" t="s">
        <v>3200</v>
      </c>
      <c r="D641" s="7" t="s">
        <v>2548</v>
      </c>
      <c r="E641" s="7" t="s">
        <v>2549</v>
      </c>
      <c r="F641" s="7" t="s">
        <v>3201</v>
      </c>
      <c r="G641" s="7" t="s">
        <v>3202</v>
      </c>
      <c r="H641" s="7" t="s">
        <v>0</v>
      </c>
      <c r="I641" s="7" t="s">
        <v>2449</v>
      </c>
      <c r="J641" s="7" t="s">
        <v>3203</v>
      </c>
      <c r="K641" s="7" t="s">
        <v>368</v>
      </c>
      <c r="L641" s="7" t="s">
        <v>3204</v>
      </c>
      <c r="M641" s="7">
        <v>2</v>
      </c>
      <c r="N641" s="7">
        <v>11</v>
      </c>
      <c r="O641" s="7" t="s">
        <v>42</v>
      </c>
      <c r="P641" s="7" t="s">
        <v>43</v>
      </c>
      <c r="Q641" s="7">
        <v>4</v>
      </c>
      <c r="R641" s="7">
        <v>0</v>
      </c>
      <c r="S641" s="7">
        <v>4</v>
      </c>
      <c r="T641" s="7">
        <v>4</v>
      </c>
      <c r="U641" s="7">
        <v>2</v>
      </c>
      <c r="V641" s="7" t="s">
        <v>3205</v>
      </c>
      <c r="W641" s="7">
        <v>0</v>
      </c>
      <c r="X641" s="7">
        <v>2</v>
      </c>
      <c r="Y641" s="7">
        <v>1</v>
      </c>
      <c r="Z641" s="7">
        <v>2</v>
      </c>
      <c r="AA641" s="7">
        <v>0</v>
      </c>
      <c r="AB641" s="7">
        <v>0</v>
      </c>
      <c r="AC641" s="7" t="s">
        <v>0</v>
      </c>
      <c r="AD641" s="7">
        <v>2</v>
      </c>
      <c r="AE641" s="7" t="s">
        <v>60</v>
      </c>
    </row>
    <row r="642" spans="1:31" ht="63.75" x14ac:dyDescent="0.2">
      <c r="A642" s="8" t="str">
        <f>HYPERLINK("http://www.patentics.cn/invokexml.do?sx=showpatent_cn&amp;sf=ShowPatent&amp;spn=US9564877&amp;sx=showpatent_cn&amp;sv=00550396d3e55214a186a2ea7f96b181","US9564877")</f>
        <v>US9564877</v>
      </c>
      <c r="B642" s="9" t="s">
        <v>3206</v>
      </c>
      <c r="C642" s="9" t="s">
        <v>3207</v>
      </c>
      <c r="D642" s="9" t="s">
        <v>578</v>
      </c>
      <c r="E642" s="9" t="s">
        <v>49</v>
      </c>
      <c r="F642" s="9" t="s">
        <v>3208</v>
      </c>
      <c r="G642" s="9" t="s">
        <v>3209</v>
      </c>
      <c r="H642" s="9" t="s">
        <v>3210</v>
      </c>
      <c r="I642" s="9" t="s">
        <v>3210</v>
      </c>
      <c r="J642" s="9" t="s">
        <v>1087</v>
      </c>
      <c r="K642" s="9" t="s">
        <v>2217</v>
      </c>
      <c r="L642" s="9" t="s">
        <v>3211</v>
      </c>
      <c r="M642" s="9">
        <v>17</v>
      </c>
      <c r="N642" s="9">
        <v>12</v>
      </c>
      <c r="O642" s="9" t="s">
        <v>57</v>
      </c>
      <c r="P642" s="9" t="s">
        <v>58</v>
      </c>
      <c r="Q642" s="9">
        <v>13</v>
      </c>
      <c r="R642" s="9">
        <v>0</v>
      </c>
      <c r="S642" s="9">
        <v>13</v>
      </c>
      <c r="T642" s="9">
        <v>9</v>
      </c>
      <c r="U642" s="9">
        <v>0</v>
      </c>
      <c r="V642" s="9" t="s">
        <v>114</v>
      </c>
      <c r="W642" s="9">
        <v>0</v>
      </c>
      <c r="X642" s="9">
        <v>0</v>
      </c>
      <c r="Y642" s="9">
        <v>0</v>
      </c>
      <c r="Z642" s="9">
        <v>0</v>
      </c>
      <c r="AA642" s="9">
        <v>5</v>
      </c>
      <c r="AB642" s="9">
        <v>5</v>
      </c>
      <c r="AC642" s="9">
        <v>14</v>
      </c>
      <c r="AD642" s="9" t="s">
        <v>0</v>
      </c>
      <c r="AE642" s="9" t="s">
        <v>60</v>
      </c>
    </row>
    <row r="643" spans="1:31" ht="76.5" x14ac:dyDescent="0.2">
      <c r="A643" s="8" t="str">
        <f>HYPERLINK("http://www.patentics.cn/invokexml.do?sx=showpatent_cn&amp;sf=ShowPatent&amp;spn=WO2015156949&amp;sx=showpatent_cn&amp;sv=9708f22a11e141a829751692b9f52a0d","WO2015156949")</f>
        <v>WO2015156949</v>
      </c>
      <c r="B643" s="9" t="s">
        <v>3212</v>
      </c>
      <c r="C643" s="9" t="s">
        <v>3207</v>
      </c>
      <c r="D643" s="9" t="s">
        <v>117</v>
      </c>
      <c r="E643" s="9" t="s">
        <v>49</v>
      </c>
      <c r="F643" s="9" t="s">
        <v>3213</v>
      </c>
      <c r="G643" s="9" t="s">
        <v>3214</v>
      </c>
      <c r="H643" s="9" t="s">
        <v>3210</v>
      </c>
      <c r="I643" s="9" t="s">
        <v>3215</v>
      </c>
      <c r="J643" s="9" t="s">
        <v>3216</v>
      </c>
      <c r="K643" s="9" t="s">
        <v>2217</v>
      </c>
      <c r="L643" s="9" t="s">
        <v>3217</v>
      </c>
      <c r="M643" s="9">
        <v>20</v>
      </c>
      <c r="N643" s="9">
        <v>7</v>
      </c>
      <c r="O643" s="9" t="s">
        <v>850</v>
      </c>
      <c r="P643" s="9" t="s">
        <v>58</v>
      </c>
      <c r="Q643" s="9">
        <v>5</v>
      </c>
      <c r="R643" s="9">
        <v>0</v>
      </c>
      <c r="S643" s="9">
        <v>5</v>
      </c>
      <c r="T643" s="9">
        <v>4</v>
      </c>
      <c r="U643" s="9">
        <v>0</v>
      </c>
      <c r="V643" s="9" t="s">
        <v>114</v>
      </c>
      <c r="W643" s="9">
        <v>0</v>
      </c>
      <c r="X643" s="9">
        <v>0</v>
      </c>
      <c r="Y643" s="9">
        <v>0</v>
      </c>
      <c r="Z643" s="9">
        <v>0</v>
      </c>
      <c r="AA643" s="9">
        <v>5</v>
      </c>
      <c r="AB643" s="9">
        <v>5</v>
      </c>
      <c r="AC643" s="9">
        <v>14</v>
      </c>
      <c r="AD643" s="9" t="s">
        <v>0</v>
      </c>
      <c r="AE643" s="9" t="s">
        <v>0</v>
      </c>
    </row>
    <row r="644" spans="1:31" ht="76.5" x14ac:dyDescent="0.2">
      <c r="A644" s="6" t="str">
        <f>HYPERLINK("http://www.patentics.cn/invokexml.do?sx=showpatent_cn&amp;sf=ShowPatent&amp;spn=CN102970013&amp;sx=showpatent_cn&amp;sv=ecc74bcfa55612814dd3aed7dc4e2c2d","CN102970013")</f>
        <v>CN102970013</v>
      </c>
      <c r="B644" s="7" t="s">
        <v>3218</v>
      </c>
      <c r="C644" s="7" t="s">
        <v>3219</v>
      </c>
      <c r="D644" s="7" t="s">
        <v>2548</v>
      </c>
      <c r="E644" s="7" t="s">
        <v>2549</v>
      </c>
      <c r="F644" s="7" t="s">
        <v>3220</v>
      </c>
      <c r="G644" s="7" t="s">
        <v>3221</v>
      </c>
      <c r="H644" s="7" t="s">
        <v>0</v>
      </c>
      <c r="I644" s="7" t="s">
        <v>2449</v>
      </c>
      <c r="J644" s="7" t="s">
        <v>734</v>
      </c>
      <c r="K644" s="7" t="s">
        <v>368</v>
      </c>
      <c r="L644" s="7" t="s">
        <v>3204</v>
      </c>
      <c r="M644" s="7">
        <v>2</v>
      </c>
      <c r="N644" s="7">
        <v>15</v>
      </c>
      <c r="O644" s="7" t="s">
        <v>42</v>
      </c>
      <c r="P644" s="7" t="s">
        <v>43</v>
      </c>
      <c r="Q644" s="7">
        <v>4</v>
      </c>
      <c r="R644" s="7">
        <v>0</v>
      </c>
      <c r="S644" s="7">
        <v>4</v>
      </c>
      <c r="T644" s="7">
        <v>3</v>
      </c>
      <c r="U644" s="7">
        <v>2</v>
      </c>
      <c r="V644" s="7" t="s">
        <v>3205</v>
      </c>
      <c r="W644" s="7">
        <v>0</v>
      </c>
      <c r="X644" s="7">
        <v>2</v>
      </c>
      <c r="Y644" s="7">
        <v>1</v>
      </c>
      <c r="Z644" s="7">
        <v>2</v>
      </c>
      <c r="AA644" s="7">
        <v>0</v>
      </c>
      <c r="AB644" s="7">
        <v>0</v>
      </c>
      <c r="AC644" s="7" t="s">
        <v>0</v>
      </c>
      <c r="AD644" s="7">
        <v>2</v>
      </c>
      <c r="AE644" s="7" t="s">
        <v>60</v>
      </c>
    </row>
    <row r="645" spans="1:31" ht="63.75" x14ac:dyDescent="0.2">
      <c r="A645" s="8" t="str">
        <f>HYPERLINK("http://www.patentics.cn/invokexml.do?sx=showpatent_cn&amp;sf=ShowPatent&amp;spn=US9564877&amp;sx=showpatent_cn&amp;sv=00550396d3e55214a186a2ea7f96b181","US9564877")</f>
        <v>US9564877</v>
      </c>
      <c r="B645" s="9" t="s">
        <v>3206</v>
      </c>
      <c r="C645" s="9" t="s">
        <v>3207</v>
      </c>
      <c r="D645" s="9" t="s">
        <v>578</v>
      </c>
      <c r="E645" s="9" t="s">
        <v>49</v>
      </c>
      <c r="F645" s="9" t="s">
        <v>3208</v>
      </c>
      <c r="G645" s="9" t="s">
        <v>3209</v>
      </c>
      <c r="H645" s="9" t="s">
        <v>3210</v>
      </c>
      <c r="I645" s="9" t="s">
        <v>3210</v>
      </c>
      <c r="J645" s="9" t="s">
        <v>1087</v>
      </c>
      <c r="K645" s="9" t="s">
        <v>2217</v>
      </c>
      <c r="L645" s="9" t="s">
        <v>3211</v>
      </c>
      <c r="M645" s="9">
        <v>17</v>
      </c>
      <c r="N645" s="9">
        <v>12</v>
      </c>
      <c r="O645" s="9" t="s">
        <v>57</v>
      </c>
      <c r="P645" s="9" t="s">
        <v>58</v>
      </c>
      <c r="Q645" s="9">
        <v>13</v>
      </c>
      <c r="R645" s="9">
        <v>0</v>
      </c>
      <c r="S645" s="9">
        <v>13</v>
      </c>
      <c r="T645" s="9">
        <v>9</v>
      </c>
      <c r="U645" s="9">
        <v>0</v>
      </c>
      <c r="V645" s="9" t="s">
        <v>114</v>
      </c>
      <c r="W645" s="9">
        <v>0</v>
      </c>
      <c r="X645" s="9">
        <v>0</v>
      </c>
      <c r="Y645" s="9">
        <v>0</v>
      </c>
      <c r="Z645" s="9">
        <v>0</v>
      </c>
      <c r="AA645" s="9">
        <v>5</v>
      </c>
      <c r="AB645" s="9">
        <v>5</v>
      </c>
      <c r="AC645" s="9">
        <v>14</v>
      </c>
      <c r="AD645" s="9" t="s">
        <v>0</v>
      </c>
      <c r="AE645" s="9" t="s">
        <v>60</v>
      </c>
    </row>
    <row r="646" spans="1:31" ht="76.5" x14ac:dyDescent="0.2">
      <c r="A646" s="8" t="str">
        <f>HYPERLINK("http://www.patentics.cn/invokexml.do?sx=showpatent_cn&amp;sf=ShowPatent&amp;spn=WO2015156949&amp;sx=showpatent_cn&amp;sv=9708f22a11e141a829751692b9f52a0d","WO2015156949")</f>
        <v>WO2015156949</v>
      </c>
      <c r="B646" s="9" t="s">
        <v>3212</v>
      </c>
      <c r="C646" s="9" t="s">
        <v>3207</v>
      </c>
      <c r="D646" s="9" t="s">
        <v>117</v>
      </c>
      <c r="E646" s="9" t="s">
        <v>49</v>
      </c>
      <c r="F646" s="9" t="s">
        <v>3213</v>
      </c>
      <c r="G646" s="9" t="s">
        <v>3214</v>
      </c>
      <c r="H646" s="9" t="s">
        <v>3210</v>
      </c>
      <c r="I646" s="9" t="s">
        <v>3215</v>
      </c>
      <c r="J646" s="9" t="s">
        <v>3216</v>
      </c>
      <c r="K646" s="9" t="s">
        <v>2217</v>
      </c>
      <c r="L646" s="9" t="s">
        <v>3217</v>
      </c>
      <c r="M646" s="9">
        <v>20</v>
      </c>
      <c r="N646" s="9">
        <v>7</v>
      </c>
      <c r="O646" s="9" t="s">
        <v>850</v>
      </c>
      <c r="P646" s="9" t="s">
        <v>58</v>
      </c>
      <c r="Q646" s="9">
        <v>5</v>
      </c>
      <c r="R646" s="9">
        <v>0</v>
      </c>
      <c r="S646" s="9">
        <v>5</v>
      </c>
      <c r="T646" s="9">
        <v>4</v>
      </c>
      <c r="U646" s="9">
        <v>0</v>
      </c>
      <c r="V646" s="9" t="s">
        <v>114</v>
      </c>
      <c r="W646" s="9">
        <v>0</v>
      </c>
      <c r="X646" s="9">
        <v>0</v>
      </c>
      <c r="Y646" s="9">
        <v>0</v>
      </c>
      <c r="Z646" s="9">
        <v>0</v>
      </c>
      <c r="AA646" s="9">
        <v>5</v>
      </c>
      <c r="AB646" s="9">
        <v>5</v>
      </c>
      <c r="AC646" s="9">
        <v>14</v>
      </c>
      <c r="AD646" s="9" t="s">
        <v>0</v>
      </c>
      <c r="AE646" s="9" t="s">
        <v>0</v>
      </c>
    </row>
    <row r="647" spans="1:31" ht="63.75" x14ac:dyDescent="0.2">
      <c r="A647" s="6" t="str">
        <f>HYPERLINK("http://www.patentics.cn/invokexml.do?sx=showpatent_cn&amp;sf=ShowPatent&amp;spn=CN102832887&amp;sx=showpatent_cn&amp;sv=b9dbce200adb17bc816220fcd8ccc9ad","CN102832887")</f>
        <v>CN102832887</v>
      </c>
      <c r="B647" s="7" t="s">
        <v>3222</v>
      </c>
      <c r="C647" s="7" t="s">
        <v>3223</v>
      </c>
      <c r="D647" s="7" t="s">
        <v>35</v>
      </c>
      <c r="E647" s="7" t="s">
        <v>35</v>
      </c>
      <c r="F647" s="7" t="s">
        <v>3224</v>
      </c>
      <c r="G647" s="7" t="s">
        <v>3115</v>
      </c>
      <c r="H647" s="7" t="s">
        <v>0</v>
      </c>
      <c r="I647" s="7" t="s">
        <v>501</v>
      </c>
      <c r="J647" s="7" t="s">
        <v>3225</v>
      </c>
      <c r="K647" s="7" t="s">
        <v>1993</v>
      </c>
      <c r="L647" s="7" t="s">
        <v>3226</v>
      </c>
      <c r="M647" s="7">
        <v>9</v>
      </c>
      <c r="N647" s="7">
        <v>24</v>
      </c>
      <c r="O647" s="7" t="s">
        <v>42</v>
      </c>
      <c r="P647" s="7" t="s">
        <v>43</v>
      </c>
      <c r="Q647" s="7">
        <v>5</v>
      </c>
      <c r="R647" s="7">
        <v>0</v>
      </c>
      <c r="S647" s="7">
        <v>5</v>
      </c>
      <c r="T647" s="7">
        <v>5</v>
      </c>
      <c r="U647" s="7">
        <v>2</v>
      </c>
      <c r="V647" s="7" t="s">
        <v>1591</v>
      </c>
      <c r="W647" s="7">
        <v>0</v>
      </c>
      <c r="X647" s="7">
        <v>2</v>
      </c>
      <c r="Y647" s="7">
        <v>1</v>
      </c>
      <c r="Z647" s="7">
        <v>2</v>
      </c>
      <c r="AA647" s="7">
        <v>0</v>
      </c>
      <c r="AB647" s="7">
        <v>0</v>
      </c>
      <c r="AC647" s="7" t="s">
        <v>0</v>
      </c>
      <c r="AD647" s="7">
        <v>2</v>
      </c>
      <c r="AE647" s="7" t="s">
        <v>60</v>
      </c>
    </row>
    <row r="648" spans="1:31" ht="25.5" x14ac:dyDescent="0.2">
      <c r="A648" s="8" t="str">
        <f>HYPERLINK("http://www.patentics.cn/invokexml.do?sx=showpatent_cn&amp;sf=ShowPatent&amp;spn=US9742366&amp;sx=showpatent_cn&amp;sv=53873c3a0a27e8888679cb9c87496e81","US9742366")</f>
        <v>US9742366</v>
      </c>
      <c r="B648" s="9" t="s">
        <v>3227</v>
      </c>
      <c r="C648" s="9" t="s">
        <v>3228</v>
      </c>
      <c r="D648" s="9" t="s">
        <v>48</v>
      </c>
      <c r="E648" s="9" t="s">
        <v>49</v>
      </c>
      <c r="F648" s="9" t="s">
        <v>3229</v>
      </c>
      <c r="G648" s="9" t="s">
        <v>3229</v>
      </c>
      <c r="H648" s="9" t="s">
        <v>1072</v>
      </c>
      <c r="I648" s="9" t="s">
        <v>1072</v>
      </c>
      <c r="J648" s="9" t="s">
        <v>1325</v>
      </c>
      <c r="K648" s="9" t="s">
        <v>1993</v>
      </c>
      <c r="L648" s="9" t="s">
        <v>3230</v>
      </c>
      <c r="M648" s="9">
        <v>15</v>
      </c>
      <c r="N648" s="9">
        <v>15</v>
      </c>
      <c r="O648" s="9" t="s">
        <v>57</v>
      </c>
      <c r="P648" s="9" t="s">
        <v>58</v>
      </c>
      <c r="Q648" s="9">
        <v>16</v>
      </c>
      <c r="R648" s="9">
        <v>0</v>
      </c>
      <c r="S648" s="9">
        <v>16</v>
      </c>
      <c r="T648" s="9">
        <v>13</v>
      </c>
      <c r="U648" s="9">
        <v>0</v>
      </c>
      <c r="V648" s="9" t="s">
        <v>114</v>
      </c>
      <c r="W648" s="9">
        <v>0</v>
      </c>
      <c r="X648" s="9">
        <v>0</v>
      </c>
      <c r="Y648" s="9">
        <v>0</v>
      </c>
      <c r="Z648" s="9">
        <v>0</v>
      </c>
      <c r="AA648" s="9">
        <v>2</v>
      </c>
      <c r="AB648" s="9">
        <v>2</v>
      </c>
      <c r="AC648" s="9">
        <v>14</v>
      </c>
      <c r="AD648" s="9" t="s">
        <v>0</v>
      </c>
      <c r="AE648" s="9" t="s">
        <v>60</v>
      </c>
    </row>
    <row r="649" spans="1:31" x14ac:dyDescent="0.2">
      <c r="A649" s="8" t="str">
        <f>HYPERLINK("http://www.patentics.cn/invokexml.do?sx=showpatent_cn&amp;sf=ShowPatent&amp;spn=WO2017011181&amp;sx=showpatent_cn&amp;sv=98d4815d2c24bd4b095808c3b203012b","WO2017011181")</f>
        <v>WO2017011181</v>
      </c>
      <c r="B649" s="9" t="s">
        <v>3231</v>
      </c>
      <c r="C649" s="9" t="s">
        <v>3232</v>
      </c>
      <c r="D649" s="9" t="s">
        <v>117</v>
      </c>
      <c r="E649" s="9" t="s">
        <v>49</v>
      </c>
      <c r="F649" s="9" t="s">
        <v>3233</v>
      </c>
      <c r="G649" s="9" t="s">
        <v>3233</v>
      </c>
      <c r="H649" s="9" t="s">
        <v>1072</v>
      </c>
      <c r="I649" s="9" t="s">
        <v>3071</v>
      </c>
      <c r="J649" s="9" t="s">
        <v>3234</v>
      </c>
      <c r="K649" s="9" t="s">
        <v>1993</v>
      </c>
      <c r="L649" s="9" t="s">
        <v>2001</v>
      </c>
      <c r="M649" s="9">
        <v>19</v>
      </c>
      <c r="N649" s="9">
        <v>9</v>
      </c>
      <c r="O649" s="9" t="s">
        <v>850</v>
      </c>
      <c r="P649" s="9" t="s">
        <v>58</v>
      </c>
      <c r="Q649" s="9">
        <v>10</v>
      </c>
      <c r="R649" s="9">
        <v>0</v>
      </c>
      <c r="S649" s="9">
        <v>10</v>
      </c>
      <c r="T649" s="9">
        <v>8</v>
      </c>
      <c r="U649" s="9">
        <v>0</v>
      </c>
      <c r="V649" s="9" t="s">
        <v>114</v>
      </c>
      <c r="W649" s="9">
        <v>0</v>
      </c>
      <c r="X649" s="9">
        <v>0</v>
      </c>
      <c r="Y649" s="9">
        <v>0</v>
      </c>
      <c r="Z649" s="9">
        <v>0</v>
      </c>
      <c r="AA649" s="9">
        <v>2</v>
      </c>
      <c r="AB649" s="9">
        <v>2</v>
      </c>
      <c r="AC649" s="9">
        <v>14</v>
      </c>
      <c r="AD649" s="9" t="s">
        <v>0</v>
      </c>
      <c r="AE649" s="9" t="s">
        <v>0</v>
      </c>
    </row>
    <row r="650" spans="1:31" ht="25.5" x14ac:dyDescent="0.2">
      <c r="A650" s="6" t="str">
        <f>HYPERLINK("http://www.patentics.cn/invokexml.do?sx=showpatent_cn&amp;sf=ShowPatent&amp;spn=CN102831582&amp;sx=showpatent_cn&amp;sv=95ae7a9d70d986e44c2f2ba189b1b618","CN102831582")</f>
        <v>CN102831582</v>
      </c>
      <c r="B650" s="7" t="s">
        <v>3235</v>
      </c>
      <c r="C650" s="7" t="s">
        <v>3236</v>
      </c>
      <c r="D650" s="7" t="s">
        <v>2432</v>
      </c>
      <c r="E650" s="7" t="s">
        <v>2432</v>
      </c>
      <c r="F650" s="7" t="s">
        <v>3237</v>
      </c>
      <c r="G650" s="7" t="s">
        <v>3238</v>
      </c>
      <c r="H650" s="7" t="s">
        <v>0</v>
      </c>
      <c r="I650" s="7" t="s">
        <v>895</v>
      </c>
      <c r="J650" s="7" t="s">
        <v>3225</v>
      </c>
      <c r="K650" s="7" t="s">
        <v>2163</v>
      </c>
      <c r="L650" s="7" t="s">
        <v>3239</v>
      </c>
      <c r="M650" s="7">
        <v>8</v>
      </c>
      <c r="N650" s="7">
        <v>21</v>
      </c>
      <c r="O650" s="7" t="s">
        <v>42</v>
      </c>
      <c r="P650" s="7" t="s">
        <v>43</v>
      </c>
      <c r="Q650" s="7">
        <v>0</v>
      </c>
      <c r="R650" s="7">
        <v>0</v>
      </c>
      <c r="S650" s="7">
        <v>0</v>
      </c>
      <c r="T650" s="7">
        <v>0</v>
      </c>
      <c r="U650" s="7">
        <v>8</v>
      </c>
      <c r="V650" s="7" t="s">
        <v>3240</v>
      </c>
      <c r="W650" s="7">
        <v>0</v>
      </c>
      <c r="X650" s="7">
        <v>8</v>
      </c>
      <c r="Y650" s="7">
        <v>5</v>
      </c>
      <c r="Z650" s="7">
        <v>2</v>
      </c>
      <c r="AA650" s="7">
        <v>0</v>
      </c>
      <c r="AB650" s="7">
        <v>0</v>
      </c>
      <c r="AC650" s="7" t="s">
        <v>0</v>
      </c>
      <c r="AD650" s="7">
        <v>2</v>
      </c>
      <c r="AE650" s="7" t="s">
        <v>60</v>
      </c>
    </row>
    <row r="651" spans="1:31" ht="102" x14ac:dyDescent="0.2">
      <c r="A651" s="8" t="str">
        <f>HYPERLINK("http://www.patentics.cn/invokexml.do?sx=showpatent_cn&amp;sf=ShowPatent&amp;spn=US9530215&amp;sx=showpatent_cn&amp;sv=5d491095faeb807491abc00428d5c01d","US9530215")</f>
        <v>US9530215</v>
      </c>
      <c r="B651" s="9" t="s">
        <v>3241</v>
      </c>
      <c r="C651" s="9" t="s">
        <v>3242</v>
      </c>
      <c r="D651" s="9" t="s">
        <v>117</v>
      </c>
      <c r="E651" s="9" t="s">
        <v>49</v>
      </c>
      <c r="F651" s="9" t="s">
        <v>3243</v>
      </c>
      <c r="G651" s="9" t="s">
        <v>3244</v>
      </c>
      <c r="H651" s="9" t="s">
        <v>3174</v>
      </c>
      <c r="I651" s="9" t="s">
        <v>3174</v>
      </c>
      <c r="J651" s="9" t="s">
        <v>3245</v>
      </c>
      <c r="K651" s="9" t="s">
        <v>529</v>
      </c>
      <c r="L651" s="9" t="s">
        <v>1432</v>
      </c>
      <c r="M651" s="9">
        <v>30</v>
      </c>
      <c r="N651" s="9">
        <v>15</v>
      </c>
      <c r="O651" s="9" t="s">
        <v>57</v>
      </c>
      <c r="P651" s="9" t="s">
        <v>58</v>
      </c>
      <c r="Q651" s="9">
        <v>32</v>
      </c>
      <c r="R651" s="9">
        <v>5</v>
      </c>
      <c r="S651" s="9">
        <v>27</v>
      </c>
      <c r="T651" s="9">
        <v>25</v>
      </c>
      <c r="U651" s="9">
        <v>0</v>
      </c>
      <c r="V651" s="9" t="s">
        <v>114</v>
      </c>
      <c r="W651" s="9">
        <v>0</v>
      </c>
      <c r="X651" s="9">
        <v>0</v>
      </c>
      <c r="Y651" s="9">
        <v>0</v>
      </c>
      <c r="Z651" s="9">
        <v>0</v>
      </c>
      <c r="AA651" s="9">
        <v>2</v>
      </c>
      <c r="AB651" s="9">
        <v>2</v>
      </c>
      <c r="AC651" s="9">
        <v>14</v>
      </c>
      <c r="AD651" s="9" t="s">
        <v>0</v>
      </c>
      <c r="AE651" s="9" t="s">
        <v>60</v>
      </c>
    </row>
    <row r="652" spans="1:31" ht="127.5" x14ac:dyDescent="0.2">
      <c r="A652" s="8" t="str">
        <f>HYPERLINK("http://www.patentics.cn/invokexml.do?sx=showpatent_cn&amp;sf=ShowPatent&amp;spn=US9635339&amp;sx=showpatent_cn&amp;sv=0f22587ea5b48de4b4f410ab6c02b999","US9635339")</f>
        <v>US9635339</v>
      </c>
      <c r="B652" s="9" t="s">
        <v>3151</v>
      </c>
      <c r="C652" s="9" t="s">
        <v>3152</v>
      </c>
      <c r="D652" s="9" t="s">
        <v>48</v>
      </c>
      <c r="E652" s="9" t="s">
        <v>49</v>
      </c>
      <c r="F652" s="9" t="s">
        <v>3153</v>
      </c>
      <c r="G652" s="9" t="s">
        <v>3154</v>
      </c>
      <c r="H652" s="9" t="s">
        <v>3155</v>
      </c>
      <c r="I652" s="9" t="s">
        <v>3155</v>
      </c>
      <c r="J652" s="9" t="s">
        <v>1695</v>
      </c>
      <c r="K652" s="9" t="s">
        <v>1529</v>
      </c>
      <c r="L652" s="9" t="s">
        <v>3063</v>
      </c>
      <c r="M652" s="9">
        <v>30</v>
      </c>
      <c r="N652" s="9">
        <v>19</v>
      </c>
      <c r="O652" s="9" t="s">
        <v>57</v>
      </c>
      <c r="P652" s="9" t="s">
        <v>58</v>
      </c>
      <c r="Q652" s="9">
        <v>56</v>
      </c>
      <c r="R652" s="9">
        <v>10</v>
      </c>
      <c r="S652" s="9">
        <v>46</v>
      </c>
      <c r="T652" s="9">
        <v>38</v>
      </c>
      <c r="U652" s="9">
        <v>0</v>
      </c>
      <c r="V652" s="9" t="s">
        <v>114</v>
      </c>
      <c r="W652" s="9">
        <v>0</v>
      </c>
      <c r="X652" s="9">
        <v>0</v>
      </c>
      <c r="Y652" s="9">
        <v>0</v>
      </c>
      <c r="Z652" s="9">
        <v>0</v>
      </c>
      <c r="AA652" s="9">
        <v>2</v>
      </c>
      <c r="AB652" s="9">
        <v>2</v>
      </c>
      <c r="AC652" s="9">
        <v>14</v>
      </c>
      <c r="AD652" s="9" t="s">
        <v>0</v>
      </c>
      <c r="AE652" s="9" t="s">
        <v>60</v>
      </c>
    </row>
    <row r="653" spans="1:31" ht="38.25" x14ac:dyDescent="0.2">
      <c r="A653" s="6" t="str">
        <f>HYPERLINK("http://www.patentics.cn/invokexml.do?sx=showpatent_cn&amp;sf=ShowPatent&amp;spn=CN102739198&amp;sx=showpatent_cn&amp;sv=83041c983fe08c33840a27faf89fb063","CN102739198")</f>
        <v>CN102739198</v>
      </c>
      <c r="B653" s="7" t="s">
        <v>3246</v>
      </c>
      <c r="C653" s="7" t="s">
        <v>3247</v>
      </c>
      <c r="D653" s="7" t="s">
        <v>1341</v>
      </c>
      <c r="E653" s="7" t="s">
        <v>1341</v>
      </c>
      <c r="F653" s="7" t="s">
        <v>3248</v>
      </c>
      <c r="G653" s="7" t="s">
        <v>3249</v>
      </c>
      <c r="H653" s="7" t="s">
        <v>3250</v>
      </c>
      <c r="I653" s="7" t="s">
        <v>3250</v>
      </c>
      <c r="J653" s="7" t="s">
        <v>3251</v>
      </c>
      <c r="K653" s="7" t="s">
        <v>368</v>
      </c>
      <c r="L653" s="7" t="s">
        <v>3252</v>
      </c>
      <c r="M653" s="7">
        <v>13</v>
      </c>
      <c r="N653" s="7">
        <v>17</v>
      </c>
      <c r="O653" s="7" t="s">
        <v>42</v>
      </c>
      <c r="P653" s="7" t="s">
        <v>43</v>
      </c>
      <c r="Q653" s="7">
        <v>5</v>
      </c>
      <c r="R653" s="7">
        <v>1</v>
      </c>
      <c r="S653" s="7">
        <v>4</v>
      </c>
      <c r="T653" s="7">
        <v>5</v>
      </c>
      <c r="U653" s="7">
        <v>2</v>
      </c>
      <c r="V653" s="7" t="s">
        <v>384</v>
      </c>
      <c r="W653" s="7">
        <v>0</v>
      </c>
      <c r="X653" s="7">
        <v>2</v>
      </c>
      <c r="Y653" s="7">
        <v>1</v>
      </c>
      <c r="Z653" s="7">
        <v>2</v>
      </c>
      <c r="AA653" s="7">
        <v>1</v>
      </c>
      <c r="AB653" s="7">
        <v>1</v>
      </c>
      <c r="AC653" s="7" t="s">
        <v>0</v>
      </c>
      <c r="AD653" s="7">
        <v>2</v>
      </c>
      <c r="AE653" s="7" t="s">
        <v>60</v>
      </c>
    </row>
    <row r="654" spans="1:31" ht="63.75" x14ac:dyDescent="0.2">
      <c r="A654" s="8" t="str">
        <f>HYPERLINK("http://www.patentics.cn/invokexml.do?sx=showpatent_cn&amp;sf=ShowPatent&amp;spn=US9742382&amp;sx=showpatent_cn&amp;sv=ae8a12357fe303ec31ba4316dc0b0ce4","US9742382")</f>
        <v>US9742382</v>
      </c>
      <c r="B654" s="9" t="s">
        <v>3253</v>
      </c>
      <c r="C654" s="9" t="s">
        <v>3254</v>
      </c>
      <c r="D654" s="9" t="s">
        <v>48</v>
      </c>
      <c r="E654" s="9" t="s">
        <v>49</v>
      </c>
      <c r="F654" s="9" t="s">
        <v>3255</v>
      </c>
      <c r="G654" s="9" t="s">
        <v>3256</v>
      </c>
      <c r="H654" s="9" t="s">
        <v>3257</v>
      </c>
      <c r="I654" s="9" t="s">
        <v>3257</v>
      </c>
      <c r="J654" s="9" t="s">
        <v>1325</v>
      </c>
      <c r="K654" s="9" t="s">
        <v>368</v>
      </c>
      <c r="L654" s="9" t="s">
        <v>3258</v>
      </c>
      <c r="M654" s="9">
        <v>20</v>
      </c>
      <c r="N654" s="9">
        <v>12</v>
      </c>
      <c r="O654" s="9" t="s">
        <v>57</v>
      </c>
      <c r="P654" s="9" t="s">
        <v>43</v>
      </c>
      <c r="Q654" s="9">
        <v>18</v>
      </c>
      <c r="R654" s="9">
        <v>0</v>
      </c>
      <c r="S654" s="9">
        <v>18</v>
      </c>
      <c r="T654" s="9">
        <v>14</v>
      </c>
      <c r="U654" s="9">
        <v>0</v>
      </c>
      <c r="V654" s="9" t="s">
        <v>114</v>
      </c>
      <c r="W654" s="9">
        <v>0</v>
      </c>
      <c r="X654" s="9">
        <v>0</v>
      </c>
      <c r="Y654" s="9">
        <v>0</v>
      </c>
      <c r="Z654" s="9">
        <v>0</v>
      </c>
      <c r="AA654" s="9">
        <v>6</v>
      </c>
      <c r="AB654" s="9">
        <v>6</v>
      </c>
      <c r="AC654" s="9">
        <v>14</v>
      </c>
      <c r="AD654" s="9" t="s">
        <v>0</v>
      </c>
      <c r="AE654" s="9" t="s">
        <v>60</v>
      </c>
    </row>
    <row r="655" spans="1:31" ht="51" x14ac:dyDescent="0.2">
      <c r="A655" s="8" t="str">
        <f>HYPERLINK("http://www.patentics.cn/invokexml.do?sx=showpatent_cn&amp;sf=ShowPatent&amp;spn=WO2014179944&amp;sx=showpatent_cn&amp;sv=960ef4422669d599b19b6f04058ed02b","WO2014179944")</f>
        <v>WO2014179944</v>
      </c>
      <c r="B655" s="9" t="s">
        <v>3259</v>
      </c>
      <c r="C655" s="9" t="s">
        <v>3254</v>
      </c>
      <c r="D655" s="9" t="s">
        <v>117</v>
      </c>
      <c r="E655" s="9" t="s">
        <v>49</v>
      </c>
      <c r="F655" s="9" t="s">
        <v>3260</v>
      </c>
      <c r="G655" s="9" t="s">
        <v>3261</v>
      </c>
      <c r="H655" s="9" t="s">
        <v>3257</v>
      </c>
      <c r="I655" s="9" t="s">
        <v>3257</v>
      </c>
      <c r="J655" s="9" t="s">
        <v>3262</v>
      </c>
      <c r="K655" s="9" t="s">
        <v>368</v>
      </c>
      <c r="L655" s="9" t="s">
        <v>3263</v>
      </c>
      <c r="M655" s="9">
        <v>23</v>
      </c>
      <c r="N655" s="9">
        <v>10</v>
      </c>
      <c r="O655" s="9" t="s">
        <v>850</v>
      </c>
      <c r="P655" s="9" t="s">
        <v>43</v>
      </c>
      <c r="Q655" s="9">
        <v>5</v>
      </c>
      <c r="R655" s="9">
        <v>0</v>
      </c>
      <c r="S655" s="9">
        <v>5</v>
      </c>
      <c r="T655" s="9">
        <v>5</v>
      </c>
      <c r="U655" s="9">
        <v>2</v>
      </c>
      <c r="V655" s="9" t="s">
        <v>948</v>
      </c>
      <c r="W655" s="9">
        <v>1</v>
      </c>
      <c r="X655" s="9">
        <v>1</v>
      </c>
      <c r="Y655" s="9">
        <v>2</v>
      </c>
      <c r="Z655" s="9">
        <v>2</v>
      </c>
      <c r="AA655" s="9">
        <v>6</v>
      </c>
      <c r="AB655" s="9">
        <v>6</v>
      </c>
      <c r="AC655" s="9">
        <v>14</v>
      </c>
      <c r="AD655" s="9" t="s">
        <v>0</v>
      </c>
      <c r="AE655" s="9" t="s">
        <v>0</v>
      </c>
    </row>
    <row r="656" spans="1:31" ht="25.5" x14ac:dyDescent="0.2">
      <c r="A656" s="6" t="str">
        <f>HYPERLINK("http://www.patentics.cn/invokexml.do?sx=showpatent_cn&amp;sf=ShowPatent&amp;spn=CN102682454&amp;sx=showpatent_cn&amp;sv=c4e8fcb8f5abc341752906370546c641","CN102682454")</f>
        <v>CN102682454</v>
      </c>
      <c r="B656" s="7" t="s">
        <v>3264</v>
      </c>
      <c r="C656" s="7" t="s">
        <v>3265</v>
      </c>
      <c r="D656" s="7" t="s">
        <v>1885</v>
      </c>
      <c r="E656" s="7" t="s">
        <v>1886</v>
      </c>
      <c r="F656" s="7" t="s">
        <v>3266</v>
      </c>
      <c r="G656" s="7" t="s">
        <v>3267</v>
      </c>
      <c r="H656" s="7" t="s">
        <v>3268</v>
      </c>
      <c r="I656" s="7" t="s">
        <v>3268</v>
      </c>
      <c r="J656" s="7" t="s">
        <v>2384</v>
      </c>
      <c r="K656" s="7" t="s">
        <v>2163</v>
      </c>
      <c r="L656" s="7" t="s">
        <v>2164</v>
      </c>
      <c r="M656" s="7">
        <v>10</v>
      </c>
      <c r="N656" s="7">
        <v>15</v>
      </c>
      <c r="O656" s="7" t="s">
        <v>42</v>
      </c>
      <c r="P656" s="7" t="s">
        <v>43</v>
      </c>
      <c r="Q656" s="7">
        <v>3</v>
      </c>
      <c r="R656" s="7">
        <v>0</v>
      </c>
      <c r="S656" s="7">
        <v>3</v>
      </c>
      <c r="T656" s="7">
        <v>3</v>
      </c>
      <c r="U656" s="7">
        <v>4</v>
      </c>
      <c r="V656" s="7" t="s">
        <v>3269</v>
      </c>
      <c r="W656" s="7">
        <v>0</v>
      </c>
      <c r="X656" s="7">
        <v>4</v>
      </c>
      <c r="Y656" s="7">
        <v>3</v>
      </c>
      <c r="Z656" s="7">
        <v>3</v>
      </c>
      <c r="AA656" s="7">
        <v>1</v>
      </c>
      <c r="AB656" s="7">
        <v>1</v>
      </c>
      <c r="AC656" s="7" t="s">
        <v>0</v>
      </c>
      <c r="AD656" s="7">
        <v>2</v>
      </c>
      <c r="AE656" s="7" t="s">
        <v>60</v>
      </c>
    </row>
    <row r="657" spans="1:31" ht="76.5" x14ac:dyDescent="0.2">
      <c r="A657" s="8" t="str">
        <f>HYPERLINK("http://www.patentics.cn/invokexml.do?sx=showpatent_cn&amp;sf=ShowPatent&amp;spn=US9542751&amp;sx=showpatent_cn&amp;sv=42d2c0d99d799c49998020dbfad94801","US9542751")</f>
        <v>US9542751</v>
      </c>
      <c r="B657" s="9" t="s">
        <v>3270</v>
      </c>
      <c r="C657" s="9" t="s">
        <v>3271</v>
      </c>
      <c r="D657" s="9" t="s">
        <v>48</v>
      </c>
      <c r="E657" s="9" t="s">
        <v>49</v>
      </c>
      <c r="F657" s="9" t="s">
        <v>3272</v>
      </c>
      <c r="G657" s="9" t="s">
        <v>3273</v>
      </c>
      <c r="H657" s="9" t="s">
        <v>3274</v>
      </c>
      <c r="I657" s="9" t="s">
        <v>3274</v>
      </c>
      <c r="J657" s="9" t="s">
        <v>521</v>
      </c>
      <c r="K657" s="9" t="s">
        <v>529</v>
      </c>
      <c r="L657" s="9" t="s">
        <v>1432</v>
      </c>
      <c r="M657" s="9">
        <v>26</v>
      </c>
      <c r="N657" s="9">
        <v>11</v>
      </c>
      <c r="O657" s="9" t="s">
        <v>57</v>
      </c>
      <c r="P657" s="9" t="s">
        <v>58</v>
      </c>
      <c r="Q657" s="9">
        <v>20</v>
      </c>
      <c r="R657" s="9">
        <v>2</v>
      </c>
      <c r="S657" s="9">
        <v>18</v>
      </c>
      <c r="T657" s="9">
        <v>16</v>
      </c>
      <c r="U657" s="9">
        <v>0</v>
      </c>
      <c r="V657" s="9" t="s">
        <v>114</v>
      </c>
      <c r="W657" s="9">
        <v>0</v>
      </c>
      <c r="X657" s="9">
        <v>0</v>
      </c>
      <c r="Y657" s="9">
        <v>0</v>
      </c>
      <c r="Z657" s="9">
        <v>0</v>
      </c>
      <c r="AA657" s="9">
        <v>2</v>
      </c>
      <c r="AB657" s="9">
        <v>2</v>
      </c>
      <c r="AC657" s="9">
        <v>14</v>
      </c>
      <c r="AD657" s="9" t="s">
        <v>0</v>
      </c>
      <c r="AE657" s="9" t="s">
        <v>60</v>
      </c>
    </row>
    <row r="658" spans="1:31" ht="153" x14ac:dyDescent="0.2">
      <c r="A658" s="8" t="str">
        <f>HYPERLINK("http://www.patentics.cn/invokexml.do?sx=showpatent_cn&amp;sf=ShowPatent&amp;spn=WO2016029399&amp;sx=showpatent_cn&amp;sv=b135530cedefcbd89f9c4bb74d7ecafa","WO2016029399")</f>
        <v>WO2016029399</v>
      </c>
      <c r="B658" s="9" t="s">
        <v>3275</v>
      </c>
      <c r="C658" s="9" t="s">
        <v>3276</v>
      </c>
      <c r="D658" s="9" t="s">
        <v>117</v>
      </c>
      <c r="E658" s="9" t="s">
        <v>49</v>
      </c>
      <c r="F658" s="9" t="s">
        <v>3277</v>
      </c>
      <c r="G658" s="9" t="s">
        <v>3278</v>
      </c>
      <c r="H658" s="9" t="s">
        <v>3279</v>
      </c>
      <c r="I658" s="9" t="s">
        <v>3279</v>
      </c>
      <c r="J658" s="9" t="s">
        <v>3280</v>
      </c>
      <c r="K658" s="9" t="s">
        <v>529</v>
      </c>
      <c r="L658" s="9" t="s">
        <v>3281</v>
      </c>
      <c r="M658" s="9">
        <v>30</v>
      </c>
      <c r="N658" s="9">
        <v>5</v>
      </c>
      <c r="O658" s="9" t="s">
        <v>850</v>
      </c>
      <c r="P658" s="9" t="s">
        <v>43</v>
      </c>
      <c r="Q658" s="9">
        <v>4</v>
      </c>
      <c r="R658" s="9">
        <v>0</v>
      </c>
      <c r="S658" s="9">
        <v>4</v>
      </c>
      <c r="T658" s="9">
        <v>3</v>
      </c>
      <c r="U658" s="9">
        <v>2</v>
      </c>
      <c r="V658" s="9" t="s">
        <v>3282</v>
      </c>
      <c r="W658" s="9">
        <v>2</v>
      </c>
      <c r="X658" s="9">
        <v>0</v>
      </c>
      <c r="Y658" s="9">
        <v>1</v>
      </c>
      <c r="Z658" s="9">
        <v>2</v>
      </c>
      <c r="AA658" s="9">
        <v>2</v>
      </c>
      <c r="AB658" s="9">
        <v>3</v>
      </c>
      <c r="AC658" s="9">
        <v>14</v>
      </c>
      <c r="AD658" s="9" t="s">
        <v>0</v>
      </c>
      <c r="AE658" s="9" t="s">
        <v>0</v>
      </c>
    </row>
    <row r="659" spans="1:31" ht="25.5" x14ac:dyDescent="0.2">
      <c r="A659" s="6" t="str">
        <f>HYPERLINK("http://www.patentics.cn/invokexml.do?sx=showpatent_cn&amp;sf=ShowPatent&amp;spn=CN102638893&amp;sx=showpatent_cn&amp;sv=2e18180bd72473f32d95bfab2f7a4fdc","CN102638893")</f>
        <v>CN102638893</v>
      </c>
      <c r="B659" s="7" t="s">
        <v>3283</v>
      </c>
      <c r="C659" s="7" t="s">
        <v>3284</v>
      </c>
      <c r="D659" s="7" t="s">
        <v>3285</v>
      </c>
      <c r="E659" s="7" t="s">
        <v>3285</v>
      </c>
      <c r="F659" s="7" t="s">
        <v>3286</v>
      </c>
      <c r="G659" s="7" t="s">
        <v>3287</v>
      </c>
      <c r="H659" s="7" t="s">
        <v>3288</v>
      </c>
      <c r="I659" s="7" t="s">
        <v>3288</v>
      </c>
      <c r="J659" s="7" t="s">
        <v>1330</v>
      </c>
      <c r="K659" s="7" t="s">
        <v>55</v>
      </c>
      <c r="L659" s="7" t="s">
        <v>206</v>
      </c>
      <c r="M659" s="7">
        <v>1</v>
      </c>
      <c r="N659" s="7">
        <v>83</v>
      </c>
      <c r="O659" s="7" t="s">
        <v>42</v>
      </c>
      <c r="P659" s="7" t="s">
        <v>43</v>
      </c>
      <c r="Q659" s="7">
        <v>2</v>
      </c>
      <c r="R659" s="7">
        <v>0</v>
      </c>
      <c r="S659" s="7">
        <v>2</v>
      </c>
      <c r="T659" s="7">
        <v>2</v>
      </c>
      <c r="U659" s="7">
        <v>35</v>
      </c>
      <c r="V659" s="7" t="s">
        <v>3289</v>
      </c>
      <c r="W659" s="7">
        <v>4</v>
      </c>
      <c r="X659" s="7">
        <v>31</v>
      </c>
      <c r="Y659" s="7">
        <v>16</v>
      </c>
      <c r="Z659" s="7">
        <v>3</v>
      </c>
      <c r="AA659" s="7">
        <v>1</v>
      </c>
      <c r="AB659" s="7">
        <v>1</v>
      </c>
      <c r="AC659" s="7" t="s">
        <v>0</v>
      </c>
      <c r="AD659" s="7">
        <v>2</v>
      </c>
      <c r="AE659" s="7" t="s">
        <v>60</v>
      </c>
    </row>
    <row r="660" spans="1:31" ht="76.5" x14ac:dyDescent="0.2">
      <c r="A660" s="8" t="str">
        <f>HYPERLINK("http://www.patentics.cn/invokexml.do?sx=showpatent_cn&amp;sf=ShowPatent&amp;spn=US9788328&amp;sx=showpatent_cn&amp;sv=f8c347f416cc90cf3a5fc6c16d853084","US9788328")</f>
        <v>US9788328</v>
      </c>
      <c r="B660" s="9" t="s">
        <v>3290</v>
      </c>
      <c r="C660" s="9" t="s">
        <v>3291</v>
      </c>
      <c r="D660" s="9" t="s">
        <v>48</v>
      </c>
      <c r="E660" s="9" t="s">
        <v>49</v>
      </c>
      <c r="F660" s="9" t="s">
        <v>3292</v>
      </c>
      <c r="G660" s="9" t="s">
        <v>3293</v>
      </c>
      <c r="H660" s="9" t="s">
        <v>0</v>
      </c>
      <c r="I660" s="9" t="s">
        <v>1657</v>
      </c>
      <c r="J660" s="9" t="s">
        <v>414</v>
      </c>
      <c r="K660" s="9" t="s">
        <v>55</v>
      </c>
      <c r="L660" s="9" t="s">
        <v>272</v>
      </c>
      <c r="M660" s="9">
        <v>20</v>
      </c>
      <c r="N660" s="9">
        <v>18</v>
      </c>
      <c r="O660" s="9" t="s">
        <v>57</v>
      </c>
      <c r="P660" s="9" t="s">
        <v>58</v>
      </c>
      <c r="Q660" s="9">
        <v>13</v>
      </c>
      <c r="R660" s="9">
        <v>3</v>
      </c>
      <c r="S660" s="9">
        <v>10</v>
      </c>
      <c r="T660" s="9">
        <v>6</v>
      </c>
      <c r="U660" s="9">
        <v>0</v>
      </c>
      <c r="V660" s="9" t="s">
        <v>114</v>
      </c>
      <c r="W660" s="9">
        <v>0</v>
      </c>
      <c r="X660" s="9">
        <v>0</v>
      </c>
      <c r="Y660" s="9">
        <v>0</v>
      </c>
      <c r="Z660" s="9">
        <v>0</v>
      </c>
      <c r="AA660" s="9">
        <v>0</v>
      </c>
      <c r="AB660" s="9">
        <v>0</v>
      </c>
      <c r="AC660" s="9">
        <v>14</v>
      </c>
      <c r="AD660" s="9" t="s">
        <v>0</v>
      </c>
      <c r="AE660" s="9" t="s">
        <v>60</v>
      </c>
    </row>
    <row r="661" spans="1:31" ht="76.5" x14ac:dyDescent="0.2">
      <c r="A661" s="8" t="str">
        <f>HYPERLINK("http://www.patentics.cn/invokexml.do?sx=showpatent_cn&amp;sf=ShowPatent&amp;spn=WO2014126776&amp;sx=showpatent_cn&amp;sv=6a2f2c9b937d59255fa59c247ae1c437","WO2014126776")</f>
        <v>WO2014126776</v>
      </c>
      <c r="B661" s="9" t="s">
        <v>3294</v>
      </c>
      <c r="C661" s="9" t="s">
        <v>3295</v>
      </c>
      <c r="D661" s="9" t="s">
        <v>117</v>
      </c>
      <c r="E661" s="9" t="s">
        <v>49</v>
      </c>
      <c r="F661" s="9" t="s">
        <v>3296</v>
      </c>
      <c r="G661" s="9" t="s">
        <v>3297</v>
      </c>
      <c r="H661" s="9" t="s">
        <v>1657</v>
      </c>
      <c r="I661" s="9" t="s">
        <v>1071</v>
      </c>
      <c r="J661" s="9" t="s">
        <v>3298</v>
      </c>
      <c r="K661" s="9" t="s">
        <v>55</v>
      </c>
      <c r="L661" s="9" t="s">
        <v>272</v>
      </c>
      <c r="M661" s="9">
        <v>68</v>
      </c>
      <c r="N661" s="9">
        <v>16</v>
      </c>
      <c r="O661" s="9" t="s">
        <v>850</v>
      </c>
      <c r="P661" s="9" t="s">
        <v>58</v>
      </c>
      <c r="Q661" s="9">
        <v>5</v>
      </c>
      <c r="R661" s="9">
        <v>2</v>
      </c>
      <c r="S661" s="9">
        <v>3</v>
      </c>
      <c r="T661" s="9">
        <v>4</v>
      </c>
      <c r="U661" s="9">
        <v>10</v>
      </c>
      <c r="V661" s="9" t="s">
        <v>3299</v>
      </c>
      <c r="W661" s="9">
        <v>0</v>
      </c>
      <c r="X661" s="9">
        <v>10</v>
      </c>
      <c r="Y661" s="9">
        <v>1</v>
      </c>
      <c r="Z661" s="9">
        <v>3</v>
      </c>
      <c r="AA661" s="9">
        <v>1</v>
      </c>
      <c r="AB661" s="9">
        <v>2</v>
      </c>
      <c r="AC661" s="9">
        <v>14</v>
      </c>
      <c r="AD661" s="9" t="s">
        <v>0</v>
      </c>
      <c r="AE661" s="9" t="s">
        <v>0</v>
      </c>
    </row>
    <row r="662" spans="1:31" ht="51" x14ac:dyDescent="0.2">
      <c r="A662" s="6" t="str">
        <f>HYPERLINK("http://www.patentics.cn/invokexml.do?sx=showpatent_cn&amp;sf=ShowPatent&amp;spn=CN102543146&amp;sx=showpatent_cn&amp;sv=5584af87981767dfbfb721648a2e4d81","CN102543146")</f>
        <v>CN102543146</v>
      </c>
      <c r="B662" s="7" t="s">
        <v>3300</v>
      </c>
      <c r="C662" s="7" t="s">
        <v>3301</v>
      </c>
      <c r="D662" s="7" t="s">
        <v>1225</v>
      </c>
      <c r="E662" s="7" t="s">
        <v>1225</v>
      </c>
      <c r="F662" s="7" t="s">
        <v>3302</v>
      </c>
      <c r="G662" s="7" t="s">
        <v>3303</v>
      </c>
      <c r="H662" s="7" t="s">
        <v>0</v>
      </c>
      <c r="I662" s="7" t="s">
        <v>3304</v>
      </c>
      <c r="J662" s="7" t="s">
        <v>1908</v>
      </c>
      <c r="K662" s="7" t="s">
        <v>3305</v>
      </c>
      <c r="L662" s="7" t="s">
        <v>3306</v>
      </c>
      <c r="M662" s="7">
        <v>6</v>
      </c>
      <c r="N662" s="7">
        <v>23</v>
      </c>
      <c r="O662" s="7" t="s">
        <v>42</v>
      </c>
      <c r="P662" s="7" t="s">
        <v>43</v>
      </c>
      <c r="Q662" s="7">
        <v>0</v>
      </c>
      <c r="R662" s="7">
        <v>0</v>
      </c>
      <c r="S662" s="7">
        <v>0</v>
      </c>
      <c r="T662" s="7">
        <v>0</v>
      </c>
      <c r="U662" s="7">
        <v>4</v>
      </c>
      <c r="V662" s="7" t="s">
        <v>2960</v>
      </c>
      <c r="W662" s="7">
        <v>2</v>
      </c>
      <c r="X662" s="7">
        <v>2</v>
      </c>
      <c r="Y662" s="7">
        <v>2</v>
      </c>
      <c r="Z662" s="7">
        <v>3</v>
      </c>
      <c r="AA662" s="7">
        <v>0</v>
      </c>
      <c r="AB662" s="7">
        <v>0</v>
      </c>
      <c r="AC662" s="7" t="s">
        <v>0</v>
      </c>
      <c r="AD662" s="7">
        <v>2</v>
      </c>
      <c r="AE662" s="7" t="s">
        <v>1390</v>
      </c>
    </row>
    <row r="663" spans="1:31" ht="102" x14ac:dyDescent="0.2">
      <c r="A663" s="8" t="str">
        <f>HYPERLINK("http://www.patentics.cn/invokexml.do?sx=showpatent_cn&amp;sf=ShowPatent&amp;spn=US9165630&amp;sx=showpatent_cn&amp;sv=ace6f1d9155406ec818a971e549d2629","US9165630")</f>
        <v>US9165630</v>
      </c>
      <c r="B663" s="9" t="s">
        <v>3307</v>
      </c>
      <c r="C663" s="9" t="s">
        <v>3308</v>
      </c>
      <c r="D663" s="9" t="s">
        <v>3309</v>
      </c>
      <c r="E663" s="9" t="s">
        <v>3310</v>
      </c>
      <c r="F663" s="9" t="s">
        <v>3311</v>
      </c>
      <c r="G663" s="9" t="s">
        <v>3312</v>
      </c>
      <c r="H663" s="9" t="s">
        <v>1688</v>
      </c>
      <c r="I663" s="9" t="s">
        <v>1688</v>
      </c>
      <c r="J663" s="9" t="s">
        <v>477</v>
      </c>
      <c r="K663" s="9" t="s">
        <v>3305</v>
      </c>
      <c r="L663" s="9" t="s">
        <v>3313</v>
      </c>
      <c r="M663" s="9">
        <v>20</v>
      </c>
      <c r="N663" s="9">
        <v>11</v>
      </c>
      <c r="O663" s="9" t="s">
        <v>57</v>
      </c>
      <c r="P663" s="9" t="s">
        <v>58</v>
      </c>
      <c r="Q663" s="9">
        <v>20</v>
      </c>
      <c r="R663" s="9">
        <v>2</v>
      </c>
      <c r="S663" s="9">
        <v>18</v>
      </c>
      <c r="T663" s="9">
        <v>15</v>
      </c>
      <c r="U663" s="9">
        <v>1</v>
      </c>
      <c r="V663" s="9" t="s">
        <v>1236</v>
      </c>
      <c r="W663" s="9">
        <v>1</v>
      </c>
      <c r="X663" s="9">
        <v>0</v>
      </c>
      <c r="Y663" s="9">
        <v>1</v>
      </c>
      <c r="Z663" s="9">
        <v>1</v>
      </c>
      <c r="AA663" s="9">
        <v>4</v>
      </c>
      <c r="AB663" s="9">
        <v>4</v>
      </c>
      <c r="AC663" s="9">
        <v>14</v>
      </c>
      <c r="AD663" s="9" t="s">
        <v>0</v>
      </c>
      <c r="AE663" s="9" t="s">
        <v>60</v>
      </c>
    </row>
    <row r="664" spans="1:31" ht="89.25" x14ac:dyDescent="0.2">
      <c r="A664" s="8" t="str">
        <f>HYPERLINK("http://www.patentics.cn/invokexml.do?sx=showpatent_cn&amp;sf=ShowPatent&amp;spn=WO2015030937&amp;sx=showpatent_cn&amp;sv=63a855b6508dc66287fdbaaf1e8f81b7","WO2015030937")</f>
        <v>WO2015030937</v>
      </c>
      <c r="B664" s="9" t="s">
        <v>3314</v>
      </c>
      <c r="C664" s="9" t="s">
        <v>3308</v>
      </c>
      <c r="D664" s="9" t="s">
        <v>3315</v>
      </c>
      <c r="E664" s="9" t="s">
        <v>3310</v>
      </c>
      <c r="F664" s="9" t="s">
        <v>3316</v>
      </c>
      <c r="G664" s="9" t="s">
        <v>3317</v>
      </c>
      <c r="H664" s="9" t="s">
        <v>1688</v>
      </c>
      <c r="I664" s="9" t="s">
        <v>3318</v>
      </c>
      <c r="J664" s="9" t="s">
        <v>3319</v>
      </c>
      <c r="K664" s="9" t="s">
        <v>368</v>
      </c>
      <c r="L664" s="9" t="s">
        <v>3320</v>
      </c>
      <c r="M664" s="9">
        <v>20</v>
      </c>
      <c r="N664" s="9">
        <v>10</v>
      </c>
      <c r="O664" s="9" t="s">
        <v>850</v>
      </c>
      <c r="P664" s="9" t="s">
        <v>58</v>
      </c>
      <c r="Q664" s="9">
        <v>10</v>
      </c>
      <c r="R664" s="9">
        <v>1</v>
      </c>
      <c r="S664" s="9">
        <v>9</v>
      </c>
      <c r="T664" s="9">
        <v>8</v>
      </c>
      <c r="U664" s="9">
        <v>1</v>
      </c>
      <c r="V664" s="9" t="s">
        <v>515</v>
      </c>
      <c r="W664" s="9">
        <v>1</v>
      </c>
      <c r="X664" s="9">
        <v>0</v>
      </c>
      <c r="Y664" s="9">
        <v>1</v>
      </c>
      <c r="Z664" s="9">
        <v>1</v>
      </c>
      <c r="AA664" s="9">
        <v>4</v>
      </c>
      <c r="AB664" s="9">
        <v>4</v>
      </c>
      <c r="AC664" s="9">
        <v>14</v>
      </c>
      <c r="AD664" s="9" t="s">
        <v>0</v>
      </c>
      <c r="AE664" s="9" t="s">
        <v>0</v>
      </c>
    </row>
    <row r="665" spans="1:31" ht="25.5" x14ac:dyDescent="0.2">
      <c r="A665" s="6" t="str">
        <f>HYPERLINK("http://www.patentics.cn/invokexml.do?sx=showpatent_cn&amp;sf=ShowPatent&amp;spn=CN102495356&amp;sx=showpatent_cn&amp;sv=436b5d5045409ff2c787acd19980fc50","CN102495356")</f>
        <v>CN102495356</v>
      </c>
      <c r="B665" s="7" t="s">
        <v>3321</v>
      </c>
      <c r="C665" s="7" t="s">
        <v>3322</v>
      </c>
      <c r="D665" s="7" t="s">
        <v>3323</v>
      </c>
      <c r="E665" s="7" t="s">
        <v>3323</v>
      </c>
      <c r="F665" s="7" t="s">
        <v>3324</v>
      </c>
      <c r="G665" s="7" t="s">
        <v>3325</v>
      </c>
      <c r="H665" s="7" t="s">
        <v>3326</v>
      </c>
      <c r="I665" s="7" t="s">
        <v>3326</v>
      </c>
      <c r="J665" s="7" t="s">
        <v>3327</v>
      </c>
      <c r="K665" s="7" t="s">
        <v>2217</v>
      </c>
      <c r="L665" s="7" t="s">
        <v>3328</v>
      </c>
      <c r="M665" s="7">
        <v>2</v>
      </c>
      <c r="N665" s="7">
        <v>15</v>
      </c>
      <c r="O665" s="7" t="s">
        <v>42</v>
      </c>
      <c r="P665" s="7" t="s">
        <v>43</v>
      </c>
      <c r="Q665" s="7">
        <v>6</v>
      </c>
      <c r="R665" s="7">
        <v>0</v>
      </c>
      <c r="S665" s="7">
        <v>6</v>
      </c>
      <c r="T665" s="7">
        <v>6</v>
      </c>
      <c r="U665" s="7">
        <v>6</v>
      </c>
      <c r="V665" s="7" t="s">
        <v>860</v>
      </c>
      <c r="W665" s="7">
        <v>0</v>
      </c>
      <c r="X665" s="7">
        <v>6</v>
      </c>
      <c r="Y665" s="7">
        <v>2</v>
      </c>
      <c r="Z665" s="7">
        <v>3</v>
      </c>
      <c r="AA665" s="7">
        <v>1</v>
      </c>
      <c r="AB665" s="7">
        <v>1</v>
      </c>
      <c r="AC665" s="7" t="s">
        <v>0</v>
      </c>
      <c r="AD665" s="7">
        <v>2</v>
      </c>
      <c r="AE665" s="7" t="s">
        <v>60</v>
      </c>
    </row>
    <row r="666" spans="1:31" ht="63.75" x14ac:dyDescent="0.2">
      <c r="A666" s="8" t="str">
        <f>HYPERLINK("http://www.patentics.cn/invokexml.do?sx=showpatent_cn&amp;sf=ShowPatent&amp;spn=US9564877&amp;sx=showpatent_cn&amp;sv=00550396d3e55214a186a2ea7f96b181","US9564877")</f>
        <v>US9564877</v>
      </c>
      <c r="B666" s="9" t="s">
        <v>3206</v>
      </c>
      <c r="C666" s="9" t="s">
        <v>3207</v>
      </c>
      <c r="D666" s="9" t="s">
        <v>578</v>
      </c>
      <c r="E666" s="9" t="s">
        <v>49</v>
      </c>
      <c r="F666" s="9" t="s">
        <v>3208</v>
      </c>
      <c r="G666" s="9" t="s">
        <v>3209</v>
      </c>
      <c r="H666" s="9" t="s">
        <v>3210</v>
      </c>
      <c r="I666" s="9" t="s">
        <v>3210</v>
      </c>
      <c r="J666" s="9" t="s">
        <v>1087</v>
      </c>
      <c r="K666" s="9" t="s">
        <v>2217</v>
      </c>
      <c r="L666" s="9" t="s">
        <v>3211</v>
      </c>
      <c r="M666" s="9">
        <v>17</v>
      </c>
      <c r="N666" s="9">
        <v>12</v>
      </c>
      <c r="O666" s="9" t="s">
        <v>57</v>
      </c>
      <c r="P666" s="9" t="s">
        <v>58</v>
      </c>
      <c r="Q666" s="9">
        <v>13</v>
      </c>
      <c r="R666" s="9">
        <v>0</v>
      </c>
      <c r="S666" s="9">
        <v>13</v>
      </c>
      <c r="T666" s="9">
        <v>9</v>
      </c>
      <c r="U666" s="9">
        <v>0</v>
      </c>
      <c r="V666" s="9" t="s">
        <v>114</v>
      </c>
      <c r="W666" s="9">
        <v>0</v>
      </c>
      <c r="X666" s="9">
        <v>0</v>
      </c>
      <c r="Y666" s="9">
        <v>0</v>
      </c>
      <c r="Z666" s="9">
        <v>0</v>
      </c>
      <c r="AA666" s="9">
        <v>5</v>
      </c>
      <c r="AB666" s="9">
        <v>5</v>
      </c>
      <c r="AC666" s="9">
        <v>14</v>
      </c>
      <c r="AD666" s="9" t="s">
        <v>0</v>
      </c>
      <c r="AE666" s="9" t="s">
        <v>60</v>
      </c>
    </row>
    <row r="667" spans="1:31" ht="76.5" x14ac:dyDescent="0.2">
      <c r="A667" s="8" t="str">
        <f>HYPERLINK("http://www.patentics.cn/invokexml.do?sx=showpatent_cn&amp;sf=ShowPatent&amp;spn=WO2015156949&amp;sx=showpatent_cn&amp;sv=9708f22a11e141a829751692b9f52a0d","WO2015156949")</f>
        <v>WO2015156949</v>
      </c>
      <c r="B667" s="9" t="s">
        <v>3212</v>
      </c>
      <c r="C667" s="9" t="s">
        <v>3207</v>
      </c>
      <c r="D667" s="9" t="s">
        <v>117</v>
      </c>
      <c r="E667" s="9" t="s">
        <v>49</v>
      </c>
      <c r="F667" s="9" t="s">
        <v>3213</v>
      </c>
      <c r="G667" s="9" t="s">
        <v>3214</v>
      </c>
      <c r="H667" s="9" t="s">
        <v>3210</v>
      </c>
      <c r="I667" s="9" t="s">
        <v>3215</v>
      </c>
      <c r="J667" s="9" t="s">
        <v>3216</v>
      </c>
      <c r="K667" s="9" t="s">
        <v>2217</v>
      </c>
      <c r="L667" s="9" t="s">
        <v>3217</v>
      </c>
      <c r="M667" s="9">
        <v>20</v>
      </c>
      <c r="N667" s="9">
        <v>7</v>
      </c>
      <c r="O667" s="9" t="s">
        <v>850</v>
      </c>
      <c r="P667" s="9" t="s">
        <v>58</v>
      </c>
      <c r="Q667" s="9">
        <v>5</v>
      </c>
      <c r="R667" s="9">
        <v>0</v>
      </c>
      <c r="S667" s="9">
        <v>5</v>
      </c>
      <c r="T667" s="9">
        <v>4</v>
      </c>
      <c r="U667" s="9">
        <v>0</v>
      </c>
      <c r="V667" s="9" t="s">
        <v>114</v>
      </c>
      <c r="W667" s="9">
        <v>0</v>
      </c>
      <c r="X667" s="9">
        <v>0</v>
      </c>
      <c r="Y667" s="9">
        <v>0</v>
      </c>
      <c r="Z667" s="9">
        <v>0</v>
      </c>
      <c r="AA667" s="9">
        <v>5</v>
      </c>
      <c r="AB667" s="9">
        <v>5</v>
      </c>
      <c r="AC667" s="9">
        <v>14</v>
      </c>
      <c r="AD667" s="9" t="s">
        <v>0</v>
      </c>
      <c r="AE667" s="9" t="s">
        <v>0</v>
      </c>
    </row>
    <row r="668" spans="1:31" ht="76.5" x14ac:dyDescent="0.2">
      <c r="A668" s="6" t="str">
        <f>HYPERLINK("http://www.patentics.cn/invokexml.do?sx=showpatent_cn&amp;sf=ShowPatent&amp;spn=CN102394596&amp;sx=showpatent_cn&amp;sv=621a0c29d5f4eeac7a88579df391f998","CN102394596")</f>
        <v>CN102394596</v>
      </c>
      <c r="B668" s="7" t="s">
        <v>3329</v>
      </c>
      <c r="C668" s="7" t="s">
        <v>3330</v>
      </c>
      <c r="D668" s="7" t="s">
        <v>2548</v>
      </c>
      <c r="E668" s="7" t="s">
        <v>2549</v>
      </c>
      <c r="F668" s="7" t="s">
        <v>3331</v>
      </c>
      <c r="G668" s="7" t="s">
        <v>3332</v>
      </c>
      <c r="H668" s="7" t="s">
        <v>3333</v>
      </c>
      <c r="I668" s="7" t="s">
        <v>3333</v>
      </c>
      <c r="J668" s="7" t="s">
        <v>3334</v>
      </c>
      <c r="K668" s="7" t="s">
        <v>368</v>
      </c>
      <c r="L668" s="7" t="s">
        <v>3335</v>
      </c>
      <c r="M668" s="7">
        <v>1</v>
      </c>
      <c r="N668" s="7">
        <v>64</v>
      </c>
      <c r="O668" s="7" t="s">
        <v>42</v>
      </c>
      <c r="P668" s="7" t="s">
        <v>43</v>
      </c>
      <c r="Q668" s="7">
        <v>4</v>
      </c>
      <c r="R668" s="7">
        <v>0</v>
      </c>
      <c r="S668" s="7">
        <v>4</v>
      </c>
      <c r="T668" s="7">
        <v>4</v>
      </c>
      <c r="U668" s="7">
        <v>4</v>
      </c>
      <c r="V668" s="7" t="s">
        <v>3336</v>
      </c>
      <c r="W668" s="7">
        <v>2</v>
      </c>
      <c r="X668" s="7">
        <v>2</v>
      </c>
      <c r="Y668" s="7">
        <v>2</v>
      </c>
      <c r="Z668" s="7">
        <v>3</v>
      </c>
      <c r="AA668" s="7">
        <v>1</v>
      </c>
      <c r="AB668" s="7">
        <v>1</v>
      </c>
      <c r="AC668" s="7" t="s">
        <v>0</v>
      </c>
      <c r="AD668" s="7">
        <v>2</v>
      </c>
      <c r="AE668" s="7" t="s">
        <v>60</v>
      </c>
    </row>
    <row r="669" spans="1:31" ht="63.75" x14ac:dyDescent="0.2">
      <c r="A669" s="8" t="str">
        <f>HYPERLINK("http://www.patentics.cn/invokexml.do?sx=showpatent_cn&amp;sf=ShowPatent&amp;spn=US9742382&amp;sx=showpatent_cn&amp;sv=ae8a12357fe303ec31ba4316dc0b0ce4","US9742382")</f>
        <v>US9742382</v>
      </c>
      <c r="B669" s="9" t="s">
        <v>3253</v>
      </c>
      <c r="C669" s="9" t="s">
        <v>3254</v>
      </c>
      <c r="D669" s="9" t="s">
        <v>48</v>
      </c>
      <c r="E669" s="9" t="s">
        <v>49</v>
      </c>
      <c r="F669" s="9" t="s">
        <v>3255</v>
      </c>
      <c r="G669" s="9" t="s">
        <v>3256</v>
      </c>
      <c r="H669" s="9" t="s">
        <v>3257</v>
      </c>
      <c r="I669" s="9" t="s">
        <v>3257</v>
      </c>
      <c r="J669" s="9" t="s">
        <v>1325</v>
      </c>
      <c r="K669" s="9" t="s">
        <v>368</v>
      </c>
      <c r="L669" s="9" t="s">
        <v>3258</v>
      </c>
      <c r="M669" s="9">
        <v>20</v>
      </c>
      <c r="N669" s="9">
        <v>12</v>
      </c>
      <c r="O669" s="9" t="s">
        <v>57</v>
      </c>
      <c r="P669" s="9" t="s">
        <v>43</v>
      </c>
      <c r="Q669" s="9">
        <v>18</v>
      </c>
      <c r="R669" s="9">
        <v>0</v>
      </c>
      <c r="S669" s="9">
        <v>18</v>
      </c>
      <c r="T669" s="9">
        <v>14</v>
      </c>
      <c r="U669" s="9">
        <v>0</v>
      </c>
      <c r="V669" s="9" t="s">
        <v>114</v>
      </c>
      <c r="W669" s="9">
        <v>0</v>
      </c>
      <c r="X669" s="9">
        <v>0</v>
      </c>
      <c r="Y669" s="9">
        <v>0</v>
      </c>
      <c r="Z669" s="9">
        <v>0</v>
      </c>
      <c r="AA669" s="9">
        <v>6</v>
      </c>
      <c r="AB669" s="9">
        <v>6</v>
      </c>
      <c r="AC669" s="9">
        <v>14</v>
      </c>
      <c r="AD669" s="9" t="s">
        <v>0</v>
      </c>
      <c r="AE669" s="9" t="s">
        <v>60</v>
      </c>
    </row>
    <row r="670" spans="1:31" ht="51" x14ac:dyDescent="0.2">
      <c r="A670" s="8" t="str">
        <f>HYPERLINK("http://www.patentics.cn/invokexml.do?sx=showpatent_cn&amp;sf=ShowPatent&amp;spn=WO2014179944&amp;sx=showpatent_cn&amp;sv=960ef4422669d599b19b6f04058ed02b","WO2014179944")</f>
        <v>WO2014179944</v>
      </c>
      <c r="B670" s="9" t="s">
        <v>3259</v>
      </c>
      <c r="C670" s="9" t="s">
        <v>3254</v>
      </c>
      <c r="D670" s="9" t="s">
        <v>117</v>
      </c>
      <c r="E670" s="9" t="s">
        <v>49</v>
      </c>
      <c r="F670" s="9" t="s">
        <v>3260</v>
      </c>
      <c r="G670" s="9" t="s">
        <v>3261</v>
      </c>
      <c r="H670" s="9" t="s">
        <v>3257</v>
      </c>
      <c r="I670" s="9" t="s">
        <v>3257</v>
      </c>
      <c r="J670" s="9" t="s">
        <v>3262</v>
      </c>
      <c r="K670" s="9" t="s">
        <v>368</v>
      </c>
      <c r="L670" s="9" t="s">
        <v>3263</v>
      </c>
      <c r="M670" s="9">
        <v>23</v>
      </c>
      <c r="N670" s="9">
        <v>10</v>
      </c>
      <c r="O670" s="9" t="s">
        <v>850</v>
      </c>
      <c r="P670" s="9" t="s">
        <v>43</v>
      </c>
      <c r="Q670" s="9">
        <v>5</v>
      </c>
      <c r="R670" s="9">
        <v>0</v>
      </c>
      <c r="S670" s="9">
        <v>5</v>
      </c>
      <c r="T670" s="9">
        <v>5</v>
      </c>
      <c r="U670" s="9">
        <v>2</v>
      </c>
      <c r="V670" s="9" t="s">
        <v>948</v>
      </c>
      <c r="W670" s="9">
        <v>1</v>
      </c>
      <c r="X670" s="9">
        <v>1</v>
      </c>
      <c r="Y670" s="9">
        <v>2</v>
      </c>
      <c r="Z670" s="9">
        <v>2</v>
      </c>
      <c r="AA670" s="9">
        <v>6</v>
      </c>
      <c r="AB670" s="9">
        <v>6</v>
      </c>
      <c r="AC670" s="9">
        <v>14</v>
      </c>
      <c r="AD670" s="9" t="s">
        <v>0</v>
      </c>
      <c r="AE670" s="9" t="s">
        <v>0</v>
      </c>
    </row>
    <row r="671" spans="1:31" ht="25.5" x14ac:dyDescent="0.2">
      <c r="A671" s="6" t="str">
        <f>HYPERLINK("http://www.patentics.cn/invokexml.do?sx=showpatent_cn&amp;sf=ShowPatent&amp;spn=CN102333377&amp;sx=showpatent_cn&amp;sv=b4d831b4ec879587b25aff44cff94f0e","CN102333377")</f>
        <v>CN102333377</v>
      </c>
      <c r="B671" s="7" t="s">
        <v>3337</v>
      </c>
      <c r="C671" s="7" t="s">
        <v>3338</v>
      </c>
      <c r="D671" s="7" t="s">
        <v>309</v>
      </c>
      <c r="E671" s="7" t="s">
        <v>309</v>
      </c>
      <c r="F671" s="7" t="s">
        <v>3339</v>
      </c>
      <c r="G671" s="7" t="s">
        <v>3340</v>
      </c>
      <c r="H671" s="7" t="s">
        <v>0</v>
      </c>
      <c r="I671" s="7" t="s">
        <v>1799</v>
      </c>
      <c r="J671" s="7" t="s">
        <v>2337</v>
      </c>
      <c r="K671" s="7" t="s">
        <v>55</v>
      </c>
      <c r="L671" s="7" t="s">
        <v>272</v>
      </c>
      <c r="M671" s="7">
        <v>8</v>
      </c>
      <c r="N671" s="7">
        <v>23</v>
      </c>
      <c r="O671" s="7" t="s">
        <v>42</v>
      </c>
      <c r="P671" s="7" t="s">
        <v>43</v>
      </c>
      <c r="Q671" s="7">
        <v>0</v>
      </c>
      <c r="R671" s="7">
        <v>0</v>
      </c>
      <c r="S671" s="7">
        <v>0</v>
      </c>
      <c r="T671" s="7">
        <v>0</v>
      </c>
      <c r="U671" s="7">
        <v>3</v>
      </c>
      <c r="V671" s="7" t="s">
        <v>3341</v>
      </c>
      <c r="W671" s="7">
        <v>0</v>
      </c>
      <c r="X671" s="7">
        <v>3</v>
      </c>
      <c r="Y671" s="7">
        <v>2</v>
      </c>
      <c r="Z671" s="7">
        <v>2</v>
      </c>
      <c r="AA671" s="7">
        <v>0</v>
      </c>
      <c r="AB671" s="7">
        <v>0</v>
      </c>
      <c r="AC671" s="7" t="s">
        <v>0</v>
      </c>
      <c r="AD671" s="7">
        <v>2</v>
      </c>
      <c r="AE671" s="7" t="s">
        <v>45</v>
      </c>
    </row>
    <row r="672" spans="1:31" ht="114.75" x14ac:dyDescent="0.2">
      <c r="A672" s="8" t="str">
        <f>HYPERLINK("http://www.patentics.cn/invokexml.do?sx=showpatent_cn&amp;sf=ShowPatent&amp;spn=US9794051&amp;sx=showpatent_cn&amp;sv=77bb25472e5c4140766c28d676203547","US9794051")</f>
        <v>US9794051</v>
      </c>
      <c r="B672" s="9" t="s">
        <v>3342</v>
      </c>
      <c r="C672" s="9" t="s">
        <v>3343</v>
      </c>
      <c r="D672" s="9" t="s">
        <v>48</v>
      </c>
      <c r="E672" s="9" t="s">
        <v>49</v>
      </c>
      <c r="F672" s="9" t="s">
        <v>3344</v>
      </c>
      <c r="G672" s="9" t="s">
        <v>3345</v>
      </c>
      <c r="H672" s="9" t="s">
        <v>0</v>
      </c>
      <c r="I672" s="9" t="s">
        <v>3346</v>
      </c>
      <c r="J672" s="9" t="s">
        <v>3347</v>
      </c>
      <c r="K672" s="9" t="s">
        <v>68</v>
      </c>
      <c r="L672" s="9" t="s">
        <v>3348</v>
      </c>
      <c r="M672" s="9">
        <v>36</v>
      </c>
      <c r="N672" s="9">
        <v>23</v>
      </c>
      <c r="O672" s="9" t="s">
        <v>57</v>
      </c>
      <c r="P672" s="9" t="s">
        <v>58</v>
      </c>
      <c r="Q672" s="9">
        <v>21</v>
      </c>
      <c r="R672" s="9">
        <v>4</v>
      </c>
      <c r="S672" s="9">
        <v>17</v>
      </c>
      <c r="T672" s="9">
        <v>13</v>
      </c>
      <c r="U672" s="9">
        <v>0</v>
      </c>
      <c r="V672" s="9" t="s">
        <v>114</v>
      </c>
      <c r="W672" s="9">
        <v>0</v>
      </c>
      <c r="X672" s="9">
        <v>0</v>
      </c>
      <c r="Y672" s="9">
        <v>0</v>
      </c>
      <c r="Z672" s="9">
        <v>0</v>
      </c>
      <c r="AA672" s="9">
        <v>0</v>
      </c>
      <c r="AB672" s="9">
        <v>0</v>
      </c>
      <c r="AC672" s="9">
        <v>14</v>
      </c>
      <c r="AD672" s="9" t="s">
        <v>0</v>
      </c>
      <c r="AE672" s="9" t="s">
        <v>60</v>
      </c>
    </row>
    <row r="673" spans="1:31" ht="89.25" x14ac:dyDescent="0.2">
      <c r="A673" s="8" t="str">
        <f>HYPERLINK("http://www.patentics.cn/invokexml.do?sx=showpatent_cn&amp;sf=ShowPatent&amp;spn=WO2014056137&amp;sx=showpatent_cn&amp;sv=cb9c9b2e31a549ba2a096725bb9adabd","WO2014056137")</f>
        <v>WO2014056137</v>
      </c>
      <c r="B673" s="9" t="s">
        <v>3349</v>
      </c>
      <c r="C673" s="9" t="s">
        <v>3350</v>
      </c>
      <c r="D673" s="9" t="s">
        <v>117</v>
      </c>
      <c r="E673" s="9" t="s">
        <v>49</v>
      </c>
      <c r="F673" s="9" t="s">
        <v>3351</v>
      </c>
      <c r="G673" s="9" t="s">
        <v>3352</v>
      </c>
      <c r="H673" s="9" t="s">
        <v>3346</v>
      </c>
      <c r="I673" s="9" t="s">
        <v>3346</v>
      </c>
      <c r="J673" s="9" t="s">
        <v>3353</v>
      </c>
      <c r="K673" s="9" t="s">
        <v>55</v>
      </c>
      <c r="L673" s="9" t="s">
        <v>3354</v>
      </c>
      <c r="M673" s="9">
        <v>68</v>
      </c>
      <c r="N673" s="9">
        <v>12</v>
      </c>
      <c r="O673" s="9" t="s">
        <v>850</v>
      </c>
      <c r="P673" s="9" t="s">
        <v>43</v>
      </c>
      <c r="Q673" s="9">
        <v>3</v>
      </c>
      <c r="R673" s="9">
        <v>0</v>
      </c>
      <c r="S673" s="9">
        <v>3</v>
      </c>
      <c r="T673" s="9">
        <v>3</v>
      </c>
      <c r="U673" s="9">
        <v>10</v>
      </c>
      <c r="V673" s="9" t="s">
        <v>3355</v>
      </c>
      <c r="W673" s="9">
        <v>1</v>
      </c>
      <c r="X673" s="9">
        <v>9</v>
      </c>
      <c r="Y673" s="9">
        <v>2</v>
      </c>
      <c r="Z673" s="9">
        <v>2</v>
      </c>
      <c r="AA673" s="9">
        <v>6</v>
      </c>
      <c r="AB673" s="9">
        <v>6</v>
      </c>
      <c r="AC673" s="9">
        <v>14</v>
      </c>
      <c r="AD673" s="9" t="s">
        <v>0</v>
      </c>
      <c r="AE673" s="9" t="s">
        <v>0</v>
      </c>
    </row>
    <row r="674" spans="1:31" ht="25.5" x14ac:dyDescent="0.2">
      <c r="A674" s="6" t="str">
        <f>HYPERLINK("http://www.patentics.cn/invokexml.do?sx=showpatent_cn&amp;sf=ShowPatent&amp;spn=CN102324019&amp;sx=showpatent_cn&amp;sv=a8b37ab2255a8845a14eaec9a8052a3f","CN102324019")</f>
        <v>CN102324019</v>
      </c>
      <c r="B674" s="7" t="s">
        <v>3356</v>
      </c>
      <c r="C674" s="7" t="s">
        <v>3357</v>
      </c>
      <c r="D674" s="7" t="s">
        <v>923</v>
      </c>
      <c r="E674" s="7" t="s">
        <v>923</v>
      </c>
      <c r="F674" s="7" t="s">
        <v>3358</v>
      </c>
      <c r="G674" s="7" t="s">
        <v>3359</v>
      </c>
      <c r="H674" s="7" t="s">
        <v>3360</v>
      </c>
      <c r="I674" s="7" t="s">
        <v>3360</v>
      </c>
      <c r="J674" s="7" t="s">
        <v>3361</v>
      </c>
      <c r="K674" s="7" t="s">
        <v>529</v>
      </c>
      <c r="L674" s="7" t="s">
        <v>1432</v>
      </c>
      <c r="M674" s="7">
        <v>10</v>
      </c>
      <c r="N674" s="7">
        <v>20</v>
      </c>
      <c r="O674" s="7" t="s">
        <v>42</v>
      </c>
      <c r="P674" s="7" t="s">
        <v>43</v>
      </c>
      <c r="Q674" s="7">
        <v>1</v>
      </c>
      <c r="R674" s="7">
        <v>0</v>
      </c>
      <c r="S674" s="7">
        <v>1</v>
      </c>
      <c r="T674" s="7">
        <v>1</v>
      </c>
      <c r="U674" s="7">
        <v>10</v>
      </c>
      <c r="V674" s="7" t="s">
        <v>3362</v>
      </c>
      <c r="W674" s="7">
        <v>1</v>
      </c>
      <c r="X674" s="7">
        <v>9</v>
      </c>
      <c r="Y674" s="7">
        <v>6</v>
      </c>
      <c r="Z674" s="7">
        <v>3</v>
      </c>
      <c r="AA674" s="7">
        <v>1</v>
      </c>
      <c r="AB674" s="7">
        <v>1</v>
      </c>
      <c r="AC674" s="7" t="s">
        <v>0</v>
      </c>
      <c r="AD674" s="7">
        <v>2</v>
      </c>
      <c r="AE674" s="7" t="s">
        <v>60</v>
      </c>
    </row>
    <row r="675" spans="1:31" ht="25.5" x14ac:dyDescent="0.2">
      <c r="A675" s="8" t="str">
        <f>HYPERLINK("http://www.patentics.cn/invokexml.do?sx=showpatent_cn&amp;sf=ShowPatent&amp;spn=US9697418&amp;sx=showpatent_cn&amp;sv=4b2cd63c3231c989f0f84b2bc34074c3","US9697418")</f>
        <v>US9697418</v>
      </c>
      <c r="B675" s="9" t="s">
        <v>3363</v>
      </c>
      <c r="C675" s="9" t="s">
        <v>3364</v>
      </c>
      <c r="D675" s="9" t="s">
        <v>48</v>
      </c>
      <c r="E675" s="9" t="s">
        <v>49</v>
      </c>
      <c r="F675" s="9" t="s">
        <v>3365</v>
      </c>
      <c r="G675" s="9" t="s">
        <v>3365</v>
      </c>
      <c r="H675" s="9" t="s">
        <v>3366</v>
      </c>
      <c r="I675" s="9" t="s">
        <v>1318</v>
      </c>
      <c r="J675" s="9" t="s">
        <v>3367</v>
      </c>
      <c r="K675" s="9" t="s">
        <v>529</v>
      </c>
      <c r="L675" s="9" t="s">
        <v>1432</v>
      </c>
      <c r="M675" s="9">
        <v>36</v>
      </c>
      <c r="N675" s="9">
        <v>16</v>
      </c>
      <c r="O675" s="9" t="s">
        <v>57</v>
      </c>
      <c r="P675" s="9" t="s">
        <v>58</v>
      </c>
      <c r="Q675" s="9">
        <v>15</v>
      </c>
      <c r="R675" s="9">
        <v>3</v>
      </c>
      <c r="S675" s="9">
        <v>12</v>
      </c>
      <c r="T675" s="9">
        <v>12</v>
      </c>
      <c r="U675" s="9">
        <v>0</v>
      </c>
      <c r="V675" s="9" t="s">
        <v>114</v>
      </c>
      <c r="W675" s="9">
        <v>0</v>
      </c>
      <c r="X675" s="9">
        <v>0</v>
      </c>
      <c r="Y675" s="9">
        <v>0</v>
      </c>
      <c r="Z675" s="9">
        <v>0</v>
      </c>
      <c r="AA675" s="9">
        <v>5</v>
      </c>
      <c r="AB675" s="9">
        <v>5</v>
      </c>
      <c r="AC675" s="9">
        <v>14</v>
      </c>
      <c r="AD675" s="9" t="s">
        <v>0</v>
      </c>
      <c r="AE675" s="9" t="s">
        <v>60</v>
      </c>
    </row>
    <row r="676" spans="1:31" ht="25.5" x14ac:dyDescent="0.2">
      <c r="A676" s="8" t="str">
        <f>HYPERLINK("http://www.patentics.cn/invokexml.do?sx=showpatent_cn&amp;sf=ShowPatent&amp;spn=WO2014011410&amp;sx=showpatent_cn&amp;sv=0d7576a51e58fb6a1c0ef42d2037074c","WO2014011410")</f>
        <v>WO2014011410</v>
      </c>
      <c r="B676" s="9" t="s">
        <v>3368</v>
      </c>
      <c r="C676" s="9" t="s">
        <v>3369</v>
      </c>
      <c r="D676" s="9" t="s">
        <v>117</v>
      </c>
      <c r="E676" s="9" t="s">
        <v>49</v>
      </c>
      <c r="F676" s="9" t="s">
        <v>3370</v>
      </c>
      <c r="G676" s="9" t="s">
        <v>3370</v>
      </c>
      <c r="H676" s="9" t="s">
        <v>3366</v>
      </c>
      <c r="I676" s="9" t="s">
        <v>3371</v>
      </c>
      <c r="J676" s="9" t="s">
        <v>3372</v>
      </c>
      <c r="K676" s="9" t="s">
        <v>529</v>
      </c>
      <c r="L676" s="9" t="s">
        <v>1424</v>
      </c>
      <c r="M676" s="9">
        <v>15</v>
      </c>
      <c r="N676" s="9">
        <v>6</v>
      </c>
      <c r="O676" s="9" t="s">
        <v>850</v>
      </c>
      <c r="P676" s="9" t="s">
        <v>58</v>
      </c>
      <c r="Q676" s="9">
        <v>4</v>
      </c>
      <c r="R676" s="9">
        <v>1</v>
      </c>
      <c r="S676" s="9">
        <v>3</v>
      </c>
      <c r="T676" s="9">
        <v>4</v>
      </c>
      <c r="U676" s="9">
        <v>0</v>
      </c>
      <c r="V676" s="9" t="s">
        <v>114</v>
      </c>
      <c r="W676" s="9">
        <v>0</v>
      </c>
      <c r="X676" s="9">
        <v>0</v>
      </c>
      <c r="Y676" s="9">
        <v>0</v>
      </c>
      <c r="Z676" s="9">
        <v>0</v>
      </c>
      <c r="AA676" s="9">
        <v>5</v>
      </c>
      <c r="AB676" s="9">
        <v>5</v>
      </c>
      <c r="AC676" s="9">
        <v>14</v>
      </c>
      <c r="AD676" s="9" t="s">
        <v>0</v>
      </c>
      <c r="AE676" s="9" t="s">
        <v>0</v>
      </c>
    </row>
    <row r="677" spans="1:31" ht="63.75" x14ac:dyDescent="0.2">
      <c r="A677" s="6" t="str">
        <f>HYPERLINK("http://www.patentics.cn/invokexml.do?sx=showpatent_cn&amp;sf=ShowPatent&amp;spn=CN102274020&amp;sx=showpatent_cn&amp;sv=46de6c820da513f454252a5e9a55b1df","CN102274020")</f>
        <v>CN102274020</v>
      </c>
      <c r="B677" s="7" t="s">
        <v>3373</v>
      </c>
      <c r="C677" s="7" t="s">
        <v>3374</v>
      </c>
      <c r="D677" s="7" t="s">
        <v>3375</v>
      </c>
      <c r="E677" s="7" t="s">
        <v>3375</v>
      </c>
      <c r="F677" s="7" t="s">
        <v>3376</v>
      </c>
      <c r="G677" s="7" t="s">
        <v>3377</v>
      </c>
      <c r="H677" s="7" t="s">
        <v>1020</v>
      </c>
      <c r="I677" s="7" t="s">
        <v>1020</v>
      </c>
      <c r="J677" s="7" t="s">
        <v>3378</v>
      </c>
      <c r="K677" s="7" t="s">
        <v>3379</v>
      </c>
      <c r="L677" s="7" t="s">
        <v>3380</v>
      </c>
      <c r="M677" s="7">
        <v>4</v>
      </c>
      <c r="N677" s="7">
        <v>12</v>
      </c>
      <c r="O677" s="7" t="s">
        <v>42</v>
      </c>
      <c r="P677" s="7" t="s">
        <v>43</v>
      </c>
      <c r="Q677" s="7">
        <v>3</v>
      </c>
      <c r="R677" s="7">
        <v>1</v>
      </c>
      <c r="S677" s="7">
        <v>2</v>
      </c>
      <c r="T677" s="7">
        <v>3</v>
      </c>
      <c r="U677" s="7">
        <v>8</v>
      </c>
      <c r="V677" s="7" t="s">
        <v>2909</v>
      </c>
      <c r="W677" s="7">
        <v>0</v>
      </c>
      <c r="X677" s="7">
        <v>8</v>
      </c>
      <c r="Y677" s="7">
        <v>6</v>
      </c>
      <c r="Z677" s="7">
        <v>3</v>
      </c>
      <c r="AA677" s="7">
        <v>1</v>
      </c>
      <c r="AB677" s="7">
        <v>1</v>
      </c>
      <c r="AC677" s="7" t="s">
        <v>0</v>
      </c>
      <c r="AD677" s="7">
        <v>2</v>
      </c>
      <c r="AE677" s="7" t="s">
        <v>532</v>
      </c>
    </row>
    <row r="678" spans="1:31" ht="38.25" x14ac:dyDescent="0.2">
      <c r="A678" s="8" t="str">
        <f>HYPERLINK("http://www.patentics.cn/invokexml.do?sx=showpatent_cn&amp;sf=ShowPatent&amp;spn=US9364160&amp;sx=showpatent_cn&amp;sv=20b9b4d2d5e0bfc623e184a2e8ff3dd0","US9364160")</f>
        <v>US9364160</v>
      </c>
      <c r="B678" s="9" t="s">
        <v>3381</v>
      </c>
      <c r="C678" s="9" t="s">
        <v>3382</v>
      </c>
      <c r="D678" s="9" t="s">
        <v>48</v>
      </c>
      <c r="E678" s="9" t="s">
        <v>49</v>
      </c>
      <c r="F678" s="9" t="s">
        <v>3383</v>
      </c>
      <c r="G678" s="9" t="s">
        <v>3384</v>
      </c>
      <c r="H678" s="9" t="s">
        <v>3334</v>
      </c>
      <c r="I678" s="9" t="s">
        <v>1318</v>
      </c>
      <c r="J678" s="9" t="s">
        <v>3385</v>
      </c>
      <c r="K678" s="9" t="s">
        <v>3379</v>
      </c>
      <c r="L678" s="9" t="s">
        <v>3386</v>
      </c>
      <c r="M678" s="9">
        <v>33</v>
      </c>
      <c r="N678" s="9">
        <v>13</v>
      </c>
      <c r="O678" s="9" t="s">
        <v>57</v>
      </c>
      <c r="P678" s="9" t="s">
        <v>58</v>
      </c>
      <c r="Q678" s="9">
        <v>9</v>
      </c>
      <c r="R678" s="9">
        <v>0</v>
      </c>
      <c r="S678" s="9">
        <v>9</v>
      </c>
      <c r="T678" s="9">
        <v>7</v>
      </c>
      <c r="U678" s="9">
        <v>0</v>
      </c>
      <c r="V678" s="9" t="s">
        <v>114</v>
      </c>
      <c r="W678" s="9">
        <v>0</v>
      </c>
      <c r="X678" s="9">
        <v>0</v>
      </c>
      <c r="Y678" s="9">
        <v>0</v>
      </c>
      <c r="Z678" s="9">
        <v>0</v>
      </c>
      <c r="AA678" s="9">
        <v>5</v>
      </c>
      <c r="AB678" s="9">
        <v>5</v>
      </c>
      <c r="AC678" s="9">
        <v>14</v>
      </c>
      <c r="AD678" s="9" t="s">
        <v>0</v>
      </c>
      <c r="AE678" s="9" t="s">
        <v>60</v>
      </c>
    </row>
    <row r="679" spans="1:31" ht="51" x14ac:dyDescent="0.2">
      <c r="A679" s="8" t="str">
        <f>HYPERLINK("http://www.patentics.cn/invokexml.do?sx=showpatent_cn&amp;sf=ShowPatent&amp;spn=CN104168821B&amp;sx=showpatent_cn&amp;sv=fb9a35cc587ed14490b0c20a96a36b5d","CN104168821B")</f>
        <v>CN104168821B</v>
      </c>
      <c r="B679" s="9" t="s">
        <v>3387</v>
      </c>
      <c r="C679" s="9" t="s">
        <v>3388</v>
      </c>
      <c r="D679" s="9" t="s">
        <v>301</v>
      </c>
      <c r="E679" s="9" t="s">
        <v>301</v>
      </c>
      <c r="F679" s="9" t="s">
        <v>3389</v>
      </c>
      <c r="G679" s="9" t="s">
        <v>3390</v>
      </c>
      <c r="H679" s="9" t="s">
        <v>3334</v>
      </c>
      <c r="I679" s="9" t="s">
        <v>820</v>
      </c>
      <c r="J679" s="9" t="s">
        <v>1149</v>
      </c>
      <c r="K679" s="9" t="s">
        <v>3379</v>
      </c>
      <c r="L679" s="9" t="s">
        <v>3391</v>
      </c>
      <c r="M679" s="9">
        <v>30</v>
      </c>
      <c r="N679" s="9">
        <v>15</v>
      </c>
      <c r="O679" s="9" t="s">
        <v>57</v>
      </c>
      <c r="P679" s="9" t="s">
        <v>58</v>
      </c>
      <c r="Q679" s="9">
        <v>1</v>
      </c>
      <c r="R679" s="9">
        <v>0</v>
      </c>
      <c r="S679" s="9">
        <v>1</v>
      </c>
      <c r="T679" s="9">
        <v>1</v>
      </c>
      <c r="U679" s="9">
        <v>0</v>
      </c>
      <c r="V679" s="9" t="s">
        <v>114</v>
      </c>
      <c r="W679" s="9">
        <v>0</v>
      </c>
      <c r="X679" s="9">
        <v>0</v>
      </c>
      <c r="Y679" s="9">
        <v>0</v>
      </c>
      <c r="Z679" s="9">
        <v>0</v>
      </c>
      <c r="AA679" s="9">
        <v>0</v>
      </c>
      <c r="AB679" s="9">
        <v>0</v>
      </c>
      <c r="AC679" s="9">
        <v>14</v>
      </c>
      <c r="AD679" s="9" t="s">
        <v>0</v>
      </c>
      <c r="AE679" s="9" t="s">
        <v>60</v>
      </c>
    </row>
    <row r="680" spans="1:31" ht="25.5" x14ac:dyDescent="0.2">
      <c r="A680" s="6" t="str">
        <f>HYPERLINK("http://www.patentics.cn/invokexml.do?sx=showpatent_cn&amp;sf=ShowPatent&amp;spn=CN102263947&amp;sx=showpatent_cn&amp;sv=e37610d8e77dbdec7b913209224cdb8f","CN102263947")</f>
        <v>CN102263947</v>
      </c>
      <c r="B680" s="7" t="s">
        <v>3392</v>
      </c>
      <c r="C680" s="7" t="s">
        <v>3393</v>
      </c>
      <c r="D680" s="7" t="s">
        <v>3394</v>
      </c>
      <c r="E680" s="7" t="s">
        <v>3394</v>
      </c>
      <c r="F680" s="7" t="s">
        <v>3395</v>
      </c>
      <c r="G680" s="7" t="s">
        <v>3396</v>
      </c>
      <c r="H680" s="7" t="s">
        <v>1352</v>
      </c>
      <c r="I680" s="7" t="s">
        <v>2171</v>
      </c>
      <c r="J680" s="7" t="s">
        <v>3326</v>
      </c>
      <c r="K680" s="7" t="s">
        <v>714</v>
      </c>
      <c r="L680" s="7" t="s">
        <v>1346</v>
      </c>
      <c r="M680" s="7">
        <v>43</v>
      </c>
      <c r="N680" s="7">
        <v>12</v>
      </c>
      <c r="O680" s="7" t="s">
        <v>42</v>
      </c>
      <c r="P680" s="7" t="s">
        <v>58</v>
      </c>
      <c r="Q680" s="7">
        <v>0</v>
      </c>
      <c r="R680" s="7">
        <v>0</v>
      </c>
      <c r="S680" s="7">
        <v>0</v>
      </c>
      <c r="T680" s="7">
        <v>0</v>
      </c>
      <c r="U680" s="7">
        <v>7</v>
      </c>
      <c r="V680" s="7" t="s">
        <v>3397</v>
      </c>
      <c r="W680" s="7">
        <v>0</v>
      </c>
      <c r="X680" s="7">
        <v>7</v>
      </c>
      <c r="Y680" s="7">
        <v>5</v>
      </c>
      <c r="Z680" s="7">
        <v>2</v>
      </c>
      <c r="AA680" s="7">
        <v>2</v>
      </c>
      <c r="AB680" s="7">
        <v>2</v>
      </c>
      <c r="AC680" s="7" t="s">
        <v>0</v>
      </c>
      <c r="AD680" s="7">
        <v>2</v>
      </c>
      <c r="AE680" s="7" t="s">
        <v>60</v>
      </c>
    </row>
    <row r="681" spans="1:31" ht="102" x14ac:dyDescent="0.2">
      <c r="A681" s="8" t="str">
        <f>HYPERLINK("http://www.patentics.cn/invokexml.do?sx=showpatent_cn&amp;sf=ShowPatent&amp;spn=US9674527&amp;sx=showpatent_cn&amp;sv=9d633a74034d4586b4f690585daa5af8","US9674527")</f>
        <v>US9674527</v>
      </c>
      <c r="B681" s="9" t="s">
        <v>3398</v>
      </c>
      <c r="C681" s="9" t="s">
        <v>3399</v>
      </c>
      <c r="D681" s="9" t="s">
        <v>48</v>
      </c>
      <c r="E681" s="9" t="s">
        <v>49</v>
      </c>
      <c r="F681" s="9" t="s">
        <v>3400</v>
      </c>
      <c r="G681" s="9" t="s">
        <v>3401</v>
      </c>
      <c r="H681" s="9" t="s">
        <v>3402</v>
      </c>
      <c r="I681" s="9" t="s">
        <v>3403</v>
      </c>
      <c r="J681" s="9" t="s">
        <v>3404</v>
      </c>
      <c r="K681" s="9" t="s">
        <v>714</v>
      </c>
      <c r="L681" s="9" t="s">
        <v>1346</v>
      </c>
      <c r="M681" s="9">
        <v>40</v>
      </c>
      <c r="N681" s="9">
        <v>22</v>
      </c>
      <c r="O681" s="9" t="s">
        <v>57</v>
      </c>
      <c r="P681" s="9" t="s">
        <v>58</v>
      </c>
      <c r="Q681" s="9">
        <v>14</v>
      </c>
      <c r="R681" s="9">
        <v>1</v>
      </c>
      <c r="S681" s="9">
        <v>13</v>
      </c>
      <c r="T681" s="9">
        <v>9</v>
      </c>
      <c r="U681" s="9">
        <v>0</v>
      </c>
      <c r="V681" s="9" t="s">
        <v>114</v>
      </c>
      <c r="W681" s="9">
        <v>0</v>
      </c>
      <c r="X681" s="9">
        <v>0</v>
      </c>
      <c r="Y681" s="9">
        <v>0</v>
      </c>
      <c r="Z681" s="9">
        <v>0</v>
      </c>
      <c r="AA681" s="9">
        <v>7</v>
      </c>
      <c r="AB681" s="9">
        <v>6</v>
      </c>
      <c r="AC681" s="9">
        <v>14</v>
      </c>
      <c r="AD681" s="9" t="s">
        <v>0</v>
      </c>
      <c r="AE681" s="9" t="s">
        <v>60</v>
      </c>
    </row>
    <row r="682" spans="1:31" ht="63.75" x14ac:dyDescent="0.2">
      <c r="A682" s="8" t="str">
        <f>HYPERLINK("http://www.patentics.cn/invokexml.do?sx=showpatent_cn&amp;sf=ShowPatent&amp;spn=CN104081778B&amp;sx=showpatent_cn&amp;sv=ca696113d438f0ca98ed66b0a3ad3f83","CN104081778B")</f>
        <v>CN104081778B</v>
      </c>
      <c r="B682" s="9" t="s">
        <v>3405</v>
      </c>
      <c r="C682" s="9" t="s">
        <v>3406</v>
      </c>
      <c r="D682" s="9" t="s">
        <v>301</v>
      </c>
      <c r="E682" s="9" t="s">
        <v>301</v>
      </c>
      <c r="F682" s="9" t="s">
        <v>3407</v>
      </c>
      <c r="G682" s="9" t="s">
        <v>3408</v>
      </c>
      <c r="H682" s="9" t="s">
        <v>3402</v>
      </c>
      <c r="I682" s="9" t="s">
        <v>1323</v>
      </c>
      <c r="J682" s="9" t="s">
        <v>3409</v>
      </c>
      <c r="K682" s="9" t="s">
        <v>714</v>
      </c>
      <c r="L682" s="9" t="s">
        <v>1750</v>
      </c>
      <c r="M682" s="9">
        <v>36</v>
      </c>
      <c r="N682" s="9">
        <v>22</v>
      </c>
      <c r="O682" s="9" t="s">
        <v>57</v>
      </c>
      <c r="P682" s="9" t="s">
        <v>58</v>
      </c>
      <c r="Q682" s="9">
        <v>3</v>
      </c>
      <c r="R682" s="9">
        <v>1</v>
      </c>
      <c r="S682" s="9">
        <v>2</v>
      </c>
      <c r="T682" s="9">
        <v>3</v>
      </c>
      <c r="U682" s="9">
        <v>0</v>
      </c>
      <c r="V682" s="9" t="s">
        <v>114</v>
      </c>
      <c r="W682" s="9">
        <v>0</v>
      </c>
      <c r="X682" s="9">
        <v>0</v>
      </c>
      <c r="Y682" s="9">
        <v>0</v>
      </c>
      <c r="Z682" s="9">
        <v>0</v>
      </c>
      <c r="AA682" s="9">
        <v>0</v>
      </c>
      <c r="AB682" s="9">
        <v>0</v>
      </c>
      <c r="AC682" s="9">
        <v>14</v>
      </c>
      <c r="AD682" s="9" t="s">
        <v>0</v>
      </c>
      <c r="AE682" s="9" t="s">
        <v>60</v>
      </c>
    </row>
    <row r="683" spans="1:31" ht="38.25" x14ac:dyDescent="0.2">
      <c r="A683" s="6" t="str">
        <f>HYPERLINK("http://www.patentics.cn/invokexml.do?sx=showpatent_cn&amp;sf=ShowPatent&amp;spn=CN102231830&amp;sx=showpatent_cn&amp;sv=c688505d592ce8c04c4ea6c031fba9fb","CN102231830")</f>
        <v>CN102231830</v>
      </c>
      <c r="B683" s="7" t="s">
        <v>3410</v>
      </c>
      <c r="C683" s="7" t="s">
        <v>3411</v>
      </c>
      <c r="D683" s="7" t="s">
        <v>923</v>
      </c>
      <c r="E683" s="7" t="s">
        <v>923</v>
      </c>
      <c r="F683" s="7" t="s">
        <v>3412</v>
      </c>
      <c r="G683" s="7" t="s">
        <v>3413</v>
      </c>
      <c r="H683" s="7" t="s">
        <v>3414</v>
      </c>
      <c r="I683" s="7" t="s">
        <v>3414</v>
      </c>
      <c r="J683" s="7" t="s">
        <v>3415</v>
      </c>
      <c r="K683" s="7" t="s">
        <v>714</v>
      </c>
      <c r="L683" s="7" t="s">
        <v>1346</v>
      </c>
      <c r="M683" s="7">
        <v>4</v>
      </c>
      <c r="N683" s="7">
        <v>24</v>
      </c>
      <c r="O683" s="7" t="s">
        <v>42</v>
      </c>
      <c r="P683" s="7" t="s">
        <v>43</v>
      </c>
      <c r="Q683" s="7">
        <v>5</v>
      </c>
      <c r="R683" s="7">
        <v>0</v>
      </c>
      <c r="S683" s="7">
        <v>5</v>
      </c>
      <c r="T683" s="7">
        <v>5</v>
      </c>
      <c r="U683" s="7">
        <v>9</v>
      </c>
      <c r="V683" s="7" t="s">
        <v>3416</v>
      </c>
      <c r="W683" s="7">
        <v>2</v>
      </c>
      <c r="X683" s="7">
        <v>7</v>
      </c>
      <c r="Y683" s="7">
        <v>6</v>
      </c>
      <c r="Z683" s="7">
        <v>3</v>
      </c>
      <c r="AA683" s="7">
        <v>1</v>
      </c>
      <c r="AB683" s="7">
        <v>1</v>
      </c>
      <c r="AC683" s="7" t="s">
        <v>0</v>
      </c>
      <c r="AD683" s="7">
        <v>2</v>
      </c>
      <c r="AE683" s="7" t="s">
        <v>532</v>
      </c>
    </row>
    <row r="684" spans="1:31" ht="63.75" x14ac:dyDescent="0.2">
      <c r="A684" s="8" t="str">
        <f>HYPERLINK("http://www.patentics.cn/invokexml.do?sx=showpatent_cn&amp;sf=ShowPatent&amp;spn=US9451287&amp;sx=showpatent_cn&amp;sv=d318f39fee9640972c2826f5d19a9b5c","US9451287")</f>
        <v>US9451287</v>
      </c>
      <c r="B684" s="9" t="s">
        <v>3417</v>
      </c>
      <c r="C684" s="9" t="s">
        <v>3418</v>
      </c>
      <c r="D684" s="9" t="s">
        <v>48</v>
      </c>
      <c r="E684" s="9" t="s">
        <v>49</v>
      </c>
      <c r="F684" s="9" t="s">
        <v>3419</v>
      </c>
      <c r="G684" s="9" t="s">
        <v>3420</v>
      </c>
      <c r="H684" s="9" t="s">
        <v>0</v>
      </c>
      <c r="I684" s="9" t="s">
        <v>3421</v>
      </c>
      <c r="J684" s="9" t="s">
        <v>513</v>
      </c>
      <c r="K684" s="9" t="s">
        <v>714</v>
      </c>
      <c r="L684" s="9" t="s">
        <v>2278</v>
      </c>
      <c r="M684" s="9">
        <v>16</v>
      </c>
      <c r="N684" s="9">
        <v>14</v>
      </c>
      <c r="O684" s="9" t="s">
        <v>57</v>
      </c>
      <c r="P684" s="9" t="s">
        <v>58</v>
      </c>
      <c r="Q684" s="9">
        <v>46</v>
      </c>
      <c r="R684" s="9">
        <v>6</v>
      </c>
      <c r="S684" s="9">
        <v>40</v>
      </c>
      <c r="T684" s="9">
        <v>24</v>
      </c>
      <c r="U684" s="9">
        <v>0</v>
      </c>
      <c r="V684" s="9" t="s">
        <v>114</v>
      </c>
      <c r="W684" s="9">
        <v>0</v>
      </c>
      <c r="X684" s="9">
        <v>0</v>
      </c>
      <c r="Y684" s="9">
        <v>0</v>
      </c>
      <c r="Z684" s="9">
        <v>0</v>
      </c>
      <c r="AA684" s="9">
        <v>0</v>
      </c>
      <c r="AB684" s="9">
        <v>0</v>
      </c>
      <c r="AC684" s="9">
        <v>14</v>
      </c>
      <c r="AD684" s="9" t="s">
        <v>0</v>
      </c>
      <c r="AE684" s="9" t="s">
        <v>60</v>
      </c>
    </row>
    <row r="685" spans="1:31" ht="63.75" x14ac:dyDescent="0.2">
      <c r="A685" s="8" t="str">
        <f>HYPERLINK("http://www.patentics.cn/invokexml.do?sx=showpatent_cn&amp;sf=ShowPatent&amp;spn=CN104040900B&amp;sx=showpatent_cn&amp;sv=57247a4f398857ec4272453a2f0d7a54","CN104040900B")</f>
        <v>CN104040900B</v>
      </c>
      <c r="B685" s="9" t="s">
        <v>3422</v>
      </c>
      <c r="C685" s="9" t="s">
        <v>3423</v>
      </c>
      <c r="D685" s="9" t="s">
        <v>301</v>
      </c>
      <c r="E685" s="9" t="s">
        <v>301</v>
      </c>
      <c r="F685" s="9" t="s">
        <v>3424</v>
      </c>
      <c r="G685" s="9" t="s">
        <v>3425</v>
      </c>
      <c r="H685" s="9" t="s">
        <v>1799</v>
      </c>
      <c r="I685" s="9" t="s">
        <v>3426</v>
      </c>
      <c r="J685" s="9" t="s">
        <v>1877</v>
      </c>
      <c r="K685" s="9" t="s">
        <v>1529</v>
      </c>
      <c r="L685" s="9" t="s">
        <v>3427</v>
      </c>
      <c r="M685" s="9">
        <v>24</v>
      </c>
      <c r="N685" s="9">
        <v>21</v>
      </c>
      <c r="O685" s="9" t="s">
        <v>57</v>
      </c>
      <c r="P685" s="9" t="s">
        <v>58</v>
      </c>
      <c r="Q685" s="9">
        <v>3</v>
      </c>
      <c r="R685" s="9">
        <v>0</v>
      </c>
      <c r="S685" s="9">
        <v>3</v>
      </c>
      <c r="T685" s="9">
        <v>3</v>
      </c>
      <c r="U685" s="9">
        <v>0</v>
      </c>
      <c r="V685" s="9" t="s">
        <v>114</v>
      </c>
      <c r="W685" s="9">
        <v>0</v>
      </c>
      <c r="X685" s="9">
        <v>0</v>
      </c>
      <c r="Y685" s="9">
        <v>0</v>
      </c>
      <c r="Z685" s="9">
        <v>0</v>
      </c>
      <c r="AA685" s="9">
        <v>0</v>
      </c>
      <c r="AB685" s="9">
        <v>0</v>
      </c>
      <c r="AC685" s="9">
        <v>14</v>
      </c>
      <c r="AD685" s="9" t="s">
        <v>0</v>
      </c>
      <c r="AE685" s="9" t="s">
        <v>60</v>
      </c>
    </row>
    <row r="686" spans="1:31" ht="25.5" x14ac:dyDescent="0.2">
      <c r="A686" s="6" t="str">
        <f>HYPERLINK("http://www.patentics.cn/invokexml.do?sx=showpatent_cn&amp;sf=ShowPatent&amp;spn=CN102209243&amp;sx=showpatent_cn&amp;sv=da3b1a7152adfc2a4aa702649398c769","CN102209243")</f>
        <v>CN102209243</v>
      </c>
      <c r="B686" s="7" t="s">
        <v>3428</v>
      </c>
      <c r="C686" s="7" t="s">
        <v>3429</v>
      </c>
      <c r="D686" s="7" t="s">
        <v>3430</v>
      </c>
      <c r="E686" s="7" t="s">
        <v>3430</v>
      </c>
      <c r="F686" s="7" t="s">
        <v>3431</v>
      </c>
      <c r="G686" s="7" t="s">
        <v>3432</v>
      </c>
      <c r="H686" s="7" t="s">
        <v>2171</v>
      </c>
      <c r="I686" s="7" t="s">
        <v>2171</v>
      </c>
      <c r="J686" s="7" t="s">
        <v>3433</v>
      </c>
      <c r="K686" s="7" t="s">
        <v>714</v>
      </c>
      <c r="L686" s="7" t="s">
        <v>2278</v>
      </c>
      <c r="M686" s="7">
        <v>1</v>
      </c>
      <c r="N686" s="7">
        <v>47</v>
      </c>
      <c r="O686" s="7" t="s">
        <v>42</v>
      </c>
      <c r="P686" s="7" t="s">
        <v>43</v>
      </c>
      <c r="Q686" s="7">
        <v>2</v>
      </c>
      <c r="R686" s="7">
        <v>0</v>
      </c>
      <c r="S686" s="7">
        <v>2</v>
      </c>
      <c r="T686" s="7">
        <v>2</v>
      </c>
      <c r="U686" s="7">
        <v>7</v>
      </c>
      <c r="V686" s="7" t="s">
        <v>3434</v>
      </c>
      <c r="W686" s="7">
        <v>0</v>
      </c>
      <c r="X686" s="7">
        <v>7</v>
      </c>
      <c r="Y686" s="7">
        <v>4</v>
      </c>
      <c r="Z686" s="7">
        <v>2</v>
      </c>
      <c r="AA686" s="7">
        <v>1</v>
      </c>
      <c r="AB686" s="7">
        <v>1</v>
      </c>
      <c r="AC686" s="7" t="s">
        <v>0</v>
      </c>
      <c r="AD686" s="7">
        <v>2</v>
      </c>
      <c r="AE686" s="7" t="s">
        <v>532</v>
      </c>
    </row>
    <row r="687" spans="1:31" ht="76.5" x14ac:dyDescent="0.2">
      <c r="A687" s="8" t="str">
        <f>HYPERLINK("http://www.patentics.cn/invokexml.do?sx=showpatent_cn&amp;sf=ShowPatent&amp;spn=WO2014005248&amp;sx=showpatent_cn&amp;sv=4baa01d0af2aad3044a4aed08ed95024","WO2014005248")</f>
        <v>WO2014005248</v>
      </c>
      <c r="B687" s="9" t="s">
        <v>3435</v>
      </c>
      <c r="C687" s="9" t="s">
        <v>3436</v>
      </c>
      <c r="D687" s="9" t="s">
        <v>117</v>
      </c>
      <c r="E687" s="9" t="s">
        <v>49</v>
      </c>
      <c r="F687" s="9" t="s">
        <v>3437</v>
      </c>
      <c r="G687" s="9" t="s">
        <v>3438</v>
      </c>
      <c r="H687" s="9" t="s">
        <v>3439</v>
      </c>
      <c r="I687" s="9" t="s">
        <v>3366</v>
      </c>
      <c r="J687" s="9" t="s">
        <v>3440</v>
      </c>
      <c r="K687" s="9" t="s">
        <v>714</v>
      </c>
      <c r="L687" s="9" t="s">
        <v>1346</v>
      </c>
      <c r="M687" s="9">
        <v>109</v>
      </c>
      <c r="N687" s="9">
        <v>14</v>
      </c>
      <c r="O687" s="9" t="s">
        <v>850</v>
      </c>
      <c r="P687" s="9" t="s">
        <v>58</v>
      </c>
      <c r="Q687" s="9">
        <v>3</v>
      </c>
      <c r="R687" s="9">
        <v>1</v>
      </c>
      <c r="S687" s="9">
        <v>2</v>
      </c>
      <c r="T687" s="9">
        <v>3</v>
      </c>
      <c r="U687" s="9">
        <v>13</v>
      </c>
      <c r="V687" s="9" t="s">
        <v>3441</v>
      </c>
      <c r="W687" s="9">
        <v>0</v>
      </c>
      <c r="X687" s="9">
        <v>13</v>
      </c>
      <c r="Y687" s="9">
        <v>5</v>
      </c>
      <c r="Z687" s="9">
        <v>1</v>
      </c>
      <c r="AA687" s="9">
        <v>2</v>
      </c>
      <c r="AB687" s="9">
        <v>3</v>
      </c>
      <c r="AC687" s="9">
        <v>14</v>
      </c>
      <c r="AD687" s="9" t="s">
        <v>0</v>
      </c>
      <c r="AE687" s="9" t="s">
        <v>0</v>
      </c>
    </row>
    <row r="688" spans="1:31" ht="63.75" x14ac:dyDescent="0.2">
      <c r="A688" s="8" t="str">
        <f>HYPERLINK("http://www.patentics.cn/invokexml.do?sx=showpatent_cn&amp;sf=ShowPatent&amp;spn=WO2015043501&amp;sx=showpatent_cn&amp;sv=e81f831954c57c21bd679c04caba5b90","WO2015043501")</f>
        <v>WO2015043501</v>
      </c>
      <c r="B688" s="9" t="s">
        <v>3442</v>
      </c>
      <c r="C688" s="9" t="s">
        <v>3443</v>
      </c>
      <c r="D688" s="9" t="s">
        <v>117</v>
      </c>
      <c r="E688" s="9" t="s">
        <v>49</v>
      </c>
      <c r="F688" s="9" t="s">
        <v>3444</v>
      </c>
      <c r="G688" s="9" t="s">
        <v>3445</v>
      </c>
      <c r="H688" s="9" t="s">
        <v>3446</v>
      </c>
      <c r="I688" s="9" t="s">
        <v>3447</v>
      </c>
      <c r="J688" s="9" t="s">
        <v>847</v>
      </c>
      <c r="K688" s="9" t="s">
        <v>714</v>
      </c>
      <c r="L688" s="9" t="s">
        <v>3448</v>
      </c>
      <c r="M688" s="9">
        <v>30</v>
      </c>
      <c r="N688" s="9">
        <v>0</v>
      </c>
      <c r="O688" s="9" t="s">
        <v>850</v>
      </c>
      <c r="P688" s="9" t="s">
        <v>58</v>
      </c>
      <c r="Q688" s="9">
        <v>3</v>
      </c>
      <c r="R688" s="9">
        <v>0</v>
      </c>
      <c r="S688" s="9">
        <v>3</v>
      </c>
      <c r="T688" s="9">
        <v>2</v>
      </c>
      <c r="U688" s="9">
        <v>0</v>
      </c>
      <c r="V688" s="9" t="s">
        <v>114</v>
      </c>
      <c r="W688" s="9">
        <v>0</v>
      </c>
      <c r="X688" s="9">
        <v>0</v>
      </c>
      <c r="Y688" s="9">
        <v>0</v>
      </c>
      <c r="Z688" s="9">
        <v>0</v>
      </c>
      <c r="AA688" s="9">
        <v>5</v>
      </c>
      <c r="AB688" s="9">
        <v>5</v>
      </c>
      <c r="AC688" s="9">
        <v>14</v>
      </c>
      <c r="AD688" s="9" t="s">
        <v>0</v>
      </c>
      <c r="AE688" s="9" t="s">
        <v>0</v>
      </c>
    </row>
    <row r="689" spans="1:31" ht="38.25" x14ac:dyDescent="0.2">
      <c r="A689" s="6" t="str">
        <f>HYPERLINK("http://www.patentics.cn/invokexml.do?sx=showpatent_cn&amp;sf=ShowPatent&amp;spn=CN102148535&amp;sx=showpatent_cn&amp;sv=daf607bc0950519f87262598b31ea5f6","CN102148535")</f>
        <v>CN102148535</v>
      </c>
      <c r="B689" s="7" t="s">
        <v>3449</v>
      </c>
      <c r="C689" s="7" t="s">
        <v>3450</v>
      </c>
      <c r="D689" s="7" t="s">
        <v>853</v>
      </c>
      <c r="E689" s="7" t="s">
        <v>853</v>
      </c>
      <c r="F689" s="7" t="s">
        <v>3451</v>
      </c>
      <c r="G689" s="7" t="s">
        <v>3452</v>
      </c>
      <c r="H689" s="7" t="s">
        <v>0</v>
      </c>
      <c r="I689" s="7" t="s">
        <v>3453</v>
      </c>
      <c r="J689" s="7" t="s">
        <v>3454</v>
      </c>
      <c r="K689" s="7" t="s">
        <v>580</v>
      </c>
      <c r="L689" s="7" t="s">
        <v>3455</v>
      </c>
      <c r="M689" s="7">
        <v>5</v>
      </c>
      <c r="N689" s="7">
        <v>19</v>
      </c>
      <c r="O689" s="7" t="s">
        <v>42</v>
      </c>
      <c r="P689" s="7" t="s">
        <v>43</v>
      </c>
      <c r="Q689" s="7">
        <v>0</v>
      </c>
      <c r="R689" s="7">
        <v>0</v>
      </c>
      <c r="S689" s="7">
        <v>0</v>
      </c>
      <c r="T689" s="7">
        <v>0</v>
      </c>
      <c r="U689" s="7">
        <v>2</v>
      </c>
      <c r="V689" s="7" t="s">
        <v>3456</v>
      </c>
      <c r="W689" s="7">
        <v>0</v>
      </c>
      <c r="X689" s="7">
        <v>2</v>
      </c>
      <c r="Y689" s="7">
        <v>1</v>
      </c>
      <c r="Z689" s="7">
        <v>1</v>
      </c>
      <c r="AA689" s="7">
        <v>0</v>
      </c>
      <c r="AB689" s="7">
        <v>0</v>
      </c>
      <c r="AC689" s="7" t="s">
        <v>0</v>
      </c>
      <c r="AD689" s="7">
        <v>2</v>
      </c>
      <c r="AE689" s="7" t="s">
        <v>45</v>
      </c>
    </row>
    <row r="690" spans="1:31" ht="76.5" x14ac:dyDescent="0.2">
      <c r="A690" s="8" t="str">
        <f>HYPERLINK("http://www.patentics.cn/invokexml.do?sx=showpatent_cn&amp;sf=ShowPatent&amp;spn=CN103797437B&amp;sx=showpatent_cn&amp;sv=cf1d86241b63a50944f7f6bc442021e1","CN103797437B")</f>
        <v>CN103797437B</v>
      </c>
      <c r="B690" s="9" t="s">
        <v>3457</v>
      </c>
      <c r="C690" s="9" t="s">
        <v>3458</v>
      </c>
      <c r="D690" s="9" t="s">
        <v>301</v>
      </c>
      <c r="E690" s="9" t="s">
        <v>301</v>
      </c>
      <c r="F690" s="9" t="s">
        <v>3459</v>
      </c>
      <c r="G690" s="9" t="s">
        <v>3460</v>
      </c>
      <c r="H690" s="9" t="s">
        <v>866</v>
      </c>
      <c r="I690" s="9" t="s">
        <v>3461</v>
      </c>
      <c r="J690" s="9" t="s">
        <v>1233</v>
      </c>
      <c r="K690" s="9" t="s">
        <v>885</v>
      </c>
      <c r="L690" s="9" t="s">
        <v>1080</v>
      </c>
      <c r="M690" s="9">
        <v>30</v>
      </c>
      <c r="N690" s="9">
        <v>27</v>
      </c>
      <c r="O690" s="9" t="s">
        <v>57</v>
      </c>
      <c r="P690" s="9" t="s">
        <v>58</v>
      </c>
      <c r="Q690" s="9">
        <v>1</v>
      </c>
      <c r="R690" s="9">
        <v>0</v>
      </c>
      <c r="S690" s="9">
        <v>1</v>
      </c>
      <c r="T690" s="9">
        <v>1</v>
      </c>
      <c r="U690" s="9">
        <v>0</v>
      </c>
      <c r="V690" s="9" t="s">
        <v>114</v>
      </c>
      <c r="W690" s="9">
        <v>0</v>
      </c>
      <c r="X690" s="9">
        <v>0</v>
      </c>
      <c r="Y690" s="9">
        <v>0</v>
      </c>
      <c r="Z690" s="9">
        <v>0</v>
      </c>
      <c r="AA690" s="9">
        <v>0</v>
      </c>
      <c r="AB690" s="9">
        <v>0</v>
      </c>
      <c r="AC690" s="9">
        <v>14</v>
      </c>
      <c r="AD690" s="9" t="s">
        <v>0</v>
      </c>
      <c r="AE690" s="9" t="s">
        <v>60</v>
      </c>
    </row>
    <row r="691" spans="1:31" ht="76.5" x14ac:dyDescent="0.2">
      <c r="A691" s="8" t="str">
        <f>HYPERLINK("http://www.patentics.cn/invokexml.do?sx=showpatent_cn&amp;sf=ShowPatent&amp;spn=CN103797437&amp;sx=showpatent_cn&amp;sv=1ba64283ba00cbfd5cf2cd2978f035ad","CN103797437")</f>
        <v>CN103797437</v>
      </c>
      <c r="B691" s="9" t="s">
        <v>3457</v>
      </c>
      <c r="C691" s="9" t="s">
        <v>3458</v>
      </c>
      <c r="D691" s="9" t="s">
        <v>301</v>
      </c>
      <c r="E691" s="9" t="s">
        <v>301</v>
      </c>
      <c r="F691" s="9" t="s">
        <v>3459</v>
      </c>
      <c r="G691" s="9" t="s">
        <v>3460</v>
      </c>
      <c r="H691" s="9" t="s">
        <v>866</v>
      </c>
      <c r="I691" s="9" t="s">
        <v>3461</v>
      </c>
      <c r="J691" s="9" t="s">
        <v>2155</v>
      </c>
      <c r="K691" s="9" t="s">
        <v>885</v>
      </c>
      <c r="L691" s="9" t="s">
        <v>1080</v>
      </c>
      <c r="M691" s="9">
        <v>40</v>
      </c>
      <c r="N691" s="9">
        <v>21</v>
      </c>
      <c r="O691" s="9" t="s">
        <v>42</v>
      </c>
      <c r="P691" s="9" t="s">
        <v>58</v>
      </c>
      <c r="Q691" s="9">
        <v>4</v>
      </c>
      <c r="R691" s="9">
        <v>1</v>
      </c>
      <c r="S691" s="9">
        <v>3</v>
      </c>
      <c r="T691" s="9">
        <v>4</v>
      </c>
      <c r="U691" s="9">
        <v>1</v>
      </c>
      <c r="V691" s="9" t="s">
        <v>78</v>
      </c>
      <c r="W691" s="9">
        <v>0</v>
      </c>
      <c r="X691" s="9">
        <v>1</v>
      </c>
      <c r="Y691" s="9">
        <v>1</v>
      </c>
      <c r="Z691" s="9">
        <v>1</v>
      </c>
      <c r="AA691" s="9">
        <v>6</v>
      </c>
      <c r="AB691" s="9">
        <v>6</v>
      </c>
      <c r="AC691" s="9">
        <v>14</v>
      </c>
      <c r="AD691" s="9" t="s">
        <v>0</v>
      </c>
      <c r="AE691" s="9" t="s">
        <v>60</v>
      </c>
    </row>
    <row r="692" spans="1:31" ht="25.5" x14ac:dyDescent="0.2">
      <c r="A692" s="6" t="str">
        <f>HYPERLINK("http://www.patentics.cn/invokexml.do?sx=showpatent_cn&amp;sf=ShowPatent&amp;spn=CN102123439&amp;sx=showpatent_cn&amp;sv=e35e6d7472c9a095bfb70499fa7db327","CN102123439")</f>
        <v>CN102123439</v>
      </c>
      <c r="B692" s="7" t="s">
        <v>3462</v>
      </c>
      <c r="C692" s="7" t="s">
        <v>3463</v>
      </c>
      <c r="D692" s="7" t="s">
        <v>3430</v>
      </c>
      <c r="E692" s="7" t="s">
        <v>3430</v>
      </c>
      <c r="F692" s="7" t="s">
        <v>3464</v>
      </c>
      <c r="G692" s="7" t="s">
        <v>3465</v>
      </c>
      <c r="H692" s="7" t="s">
        <v>0</v>
      </c>
      <c r="I692" s="7" t="s">
        <v>3466</v>
      </c>
      <c r="J692" s="7" t="s">
        <v>3467</v>
      </c>
      <c r="K692" s="7" t="s">
        <v>55</v>
      </c>
      <c r="L692" s="7" t="s">
        <v>3047</v>
      </c>
      <c r="M692" s="7">
        <v>1</v>
      </c>
      <c r="N692" s="7">
        <v>64</v>
      </c>
      <c r="O692" s="7" t="s">
        <v>42</v>
      </c>
      <c r="P692" s="7" t="s">
        <v>43</v>
      </c>
      <c r="Q692" s="7">
        <v>0</v>
      </c>
      <c r="R692" s="7">
        <v>0</v>
      </c>
      <c r="S692" s="7">
        <v>0</v>
      </c>
      <c r="T692" s="7">
        <v>0</v>
      </c>
      <c r="U692" s="7">
        <v>4</v>
      </c>
      <c r="V692" s="7" t="s">
        <v>3468</v>
      </c>
      <c r="W692" s="7">
        <v>0</v>
      </c>
      <c r="X692" s="7">
        <v>4</v>
      </c>
      <c r="Y692" s="7">
        <v>2</v>
      </c>
      <c r="Z692" s="7">
        <v>3</v>
      </c>
      <c r="AA692" s="7">
        <v>0</v>
      </c>
      <c r="AB692" s="7">
        <v>0</v>
      </c>
      <c r="AC692" s="7" t="s">
        <v>0</v>
      </c>
      <c r="AD692" s="7">
        <v>2</v>
      </c>
      <c r="AE692" s="7" t="s">
        <v>45</v>
      </c>
    </row>
    <row r="693" spans="1:31" ht="89.25" x14ac:dyDescent="0.2">
      <c r="A693" s="8" t="str">
        <f>HYPERLINK("http://www.patentics.cn/invokexml.do?sx=showpatent_cn&amp;sf=ShowPatent&amp;spn=US9455794&amp;sx=showpatent_cn&amp;sv=d32616f449dd28671e39779f116ca90f","US9455794")</f>
        <v>US9455794</v>
      </c>
      <c r="B693" s="9" t="s">
        <v>3469</v>
      </c>
      <c r="C693" s="9" t="s">
        <v>3470</v>
      </c>
      <c r="D693" s="9" t="s">
        <v>48</v>
      </c>
      <c r="E693" s="9" t="s">
        <v>49</v>
      </c>
      <c r="F693" s="9" t="s">
        <v>3471</v>
      </c>
      <c r="G693" s="9" t="s">
        <v>3472</v>
      </c>
      <c r="H693" s="9" t="s">
        <v>3473</v>
      </c>
      <c r="I693" s="9" t="s">
        <v>3473</v>
      </c>
      <c r="J693" s="9" t="s">
        <v>3474</v>
      </c>
      <c r="K693" s="9" t="s">
        <v>40</v>
      </c>
      <c r="L693" s="9" t="s">
        <v>3475</v>
      </c>
      <c r="M693" s="9">
        <v>21</v>
      </c>
      <c r="N693" s="9">
        <v>13</v>
      </c>
      <c r="O693" s="9" t="s">
        <v>57</v>
      </c>
      <c r="P693" s="9" t="s">
        <v>43</v>
      </c>
      <c r="Q693" s="9">
        <v>45</v>
      </c>
      <c r="R693" s="9">
        <v>2</v>
      </c>
      <c r="S693" s="9">
        <v>43</v>
      </c>
      <c r="T693" s="9">
        <v>30</v>
      </c>
      <c r="U693" s="9">
        <v>0</v>
      </c>
      <c r="V693" s="9" t="s">
        <v>114</v>
      </c>
      <c r="W693" s="9">
        <v>0</v>
      </c>
      <c r="X693" s="9">
        <v>0</v>
      </c>
      <c r="Y693" s="9">
        <v>0</v>
      </c>
      <c r="Z693" s="9">
        <v>0</v>
      </c>
      <c r="AA693" s="9">
        <v>5</v>
      </c>
      <c r="AB693" s="9">
        <v>5</v>
      </c>
      <c r="AC693" s="9">
        <v>14</v>
      </c>
      <c r="AD693" s="9" t="s">
        <v>0</v>
      </c>
      <c r="AE693" s="9" t="s">
        <v>60</v>
      </c>
    </row>
    <row r="694" spans="1:31" ht="76.5" x14ac:dyDescent="0.2">
      <c r="A694" s="8" t="str">
        <f>HYPERLINK("http://www.patentics.cn/invokexml.do?sx=showpatent_cn&amp;sf=ShowPatent&amp;spn=WO2014067044&amp;sx=showpatent_cn&amp;sv=b637cbbbc6a7017cc6fe613a7063cf0b","WO2014067044")</f>
        <v>WO2014067044</v>
      </c>
      <c r="B694" s="9" t="s">
        <v>3476</v>
      </c>
      <c r="C694" s="9" t="s">
        <v>3470</v>
      </c>
      <c r="D694" s="9" t="s">
        <v>117</v>
      </c>
      <c r="E694" s="9" t="s">
        <v>49</v>
      </c>
      <c r="F694" s="9" t="s">
        <v>3477</v>
      </c>
      <c r="G694" s="9" t="s">
        <v>3478</v>
      </c>
      <c r="H694" s="9" t="s">
        <v>3473</v>
      </c>
      <c r="I694" s="9" t="s">
        <v>3473</v>
      </c>
      <c r="J694" s="9" t="s">
        <v>3479</v>
      </c>
      <c r="K694" s="9" t="s">
        <v>55</v>
      </c>
      <c r="L694" s="9" t="s">
        <v>3480</v>
      </c>
      <c r="M694" s="9">
        <v>21</v>
      </c>
      <c r="N694" s="9">
        <v>14</v>
      </c>
      <c r="O694" s="9" t="s">
        <v>850</v>
      </c>
      <c r="P694" s="9" t="s">
        <v>43</v>
      </c>
      <c r="Q694" s="9">
        <v>3</v>
      </c>
      <c r="R694" s="9">
        <v>0</v>
      </c>
      <c r="S694" s="9">
        <v>3</v>
      </c>
      <c r="T694" s="9">
        <v>3</v>
      </c>
      <c r="U694" s="9">
        <v>0</v>
      </c>
      <c r="V694" s="9" t="s">
        <v>114</v>
      </c>
      <c r="W694" s="9">
        <v>0</v>
      </c>
      <c r="X694" s="9">
        <v>0</v>
      </c>
      <c r="Y694" s="9">
        <v>0</v>
      </c>
      <c r="Z694" s="9">
        <v>0</v>
      </c>
      <c r="AA694" s="9">
        <v>5</v>
      </c>
      <c r="AB694" s="9">
        <v>5</v>
      </c>
      <c r="AC694" s="9">
        <v>14</v>
      </c>
      <c r="AD694" s="9" t="s">
        <v>0</v>
      </c>
      <c r="AE694" s="9" t="s">
        <v>0</v>
      </c>
    </row>
    <row r="695" spans="1:31" ht="38.25" x14ac:dyDescent="0.2">
      <c r="A695" s="6" t="str">
        <f>HYPERLINK("http://www.patentics.cn/invokexml.do?sx=showpatent_cn&amp;sf=ShowPatent&amp;spn=CN101980565&amp;sx=showpatent_cn&amp;sv=270f65c9571b032ede65d077c0ca45bb","CN101980565")</f>
        <v>CN101980565</v>
      </c>
      <c r="B695" s="7" t="s">
        <v>3481</v>
      </c>
      <c r="C695" s="7" t="s">
        <v>3482</v>
      </c>
      <c r="D695" s="7" t="s">
        <v>3483</v>
      </c>
      <c r="E695" s="7" t="s">
        <v>3483</v>
      </c>
      <c r="F695" s="7" t="s">
        <v>3484</v>
      </c>
      <c r="G695" s="7" t="s">
        <v>3485</v>
      </c>
      <c r="H695" s="7" t="s">
        <v>3486</v>
      </c>
      <c r="I695" s="7" t="s">
        <v>3486</v>
      </c>
      <c r="J695" s="7" t="s">
        <v>1964</v>
      </c>
      <c r="K695" s="7" t="s">
        <v>55</v>
      </c>
      <c r="L695" s="7" t="s">
        <v>3487</v>
      </c>
      <c r="M695" s="7">
        <v>5</v>
      </c>
      <c r="N695" s="7">
        <v>43</v>
      </c>
      <c r="O695" s="7" t="s">
        <v>42</v>
      </c>
      <c r="P695" s="7" t="s">
        <v>43</v>
      </c>
      <c r="Q695" s="7">
        <v>4</v>
      </c>
      <c r="R695" s="7">
        <v>0</v>
      </c>
      <c r="S695" s="7">
        <v>4</v>
      </c>
      <c r="T695" s="7">
        <v>3</v>
      </c>
      <c r="U695" s="7">
        <v>5</v>
      </c>
      <c r="V695" s="7" t="s">
        <v>2576</v>
      </c>
      <c r="W695" s="7">
        <v>1</v>
      </c>
      <c r="X695" s="7">
        <v>4</v>
      </c>
      <c r="Y695" s="7">
        <v>4</v>
      </c>
      <c r="Z695" s="7">
        <v>2</v>
      </c>
      <c r="AA695" s="7">
        <v>1</v>
      </c>
      <c r="AB695" s="7">
        <v>1</v>
      </c>
      <c r="AC695" s="7" t="s">
        <v>0</v>
      </c>
      <c r="AD695" s="7">
        <v>2</v>
      </c>
      <c r="AE695" s="7" t="s">
        <v>60</v>
      </c>
    </row>
    <row r="696" spans="1:31" ht="25.5" x14ac:dyDescent="0.2">
      <c r="A696" s="8" t="str">
        <f>HYPERLINK("http://www.patentics.cn/invokexml.do?sx=showpatent_cn&amp;sf=ShowPatent&amp;spn=US9184998&amp;sx=showpatent_cn&amp;sv=bc804fd67ea22ae061fcdd5f0fcca212","US9184998")</f>
        <v>US9184998</v>
      </c>
      <c r="B696" s="9" t="s">
        <v>3488</v>
      </c>
      <c r="C696" s="9" t="s">
        <v>3489</v>
      </c>
      <c r="D696" s="9" t="s">
        <v>48</v>
      </c>
      <c r="E696" s="9" t="s">
        <v>49</v>
      </c>
      <c r="F696" s="9" t="s">
        <v>3490</v>
      </c>
      <c r="G696" s="9" t="s">
        <v>3490</v>
      </c>
      <c r="H696" s="9" t="s">
        <v>270</v>
      </c>
      <c r="I696" s="9" t="s">
        <v>270</v>
      </c>
      <c r="J696" s="9" t="s">
        <v>235</v>
      </c>
      <c r="K696" s="9" t="s">
        <v>68</v>
      </c>
      <c r="L696" s="9" t="s">
        <v>2448</v>
      </c>
      <c r="M696" s="9">
        <v>29</v>
      </c>
      <c r="N696" s="9">
        <v>11</v>
      </c>
      <c r="O696" s="9" t="s">
        <v>57</v>
      </c>
      <c r="P696" s="9" t="s">
        <v>58</v>
      </c>
      <c r="Q696" s="9">
        <v>56</v>
      </c>
      <c r="R696" s="9">
        <v>6</v>
      </c>
      <c r="S696" s="9">
        <v>50</v>
      </c>
      <c r="T696" s="9">
        <v>33</v>
      </c>
      <c r="U696" s="9">
        <v>1</v>
      </c>
      <c r="V696" s="9" t="s">
        <v>82</v>
      </c>
      <c r="W696" s="9">
        <v>1</v>
      </c>
      <c r="X696" s="9">
        <v>0</v>
      </c>
      <c r="Y696" s="9">
        <v>1</v>
      </c>
      <c r="Z696" s="9">
        <v>1</v>
      </c>
      <c r="AA696" s="9">
        <v>2</v>
      </c>
      <c r="AB696" s="9">
        <v>2</v>
      </c>
      <c r="AC696" s="9">
        <v>14</v>
      </c>
      <c r="AD696" s="9" t="s">
        <v>0</v>
      </c>
      <c r="AE696" s="9" t="s">
        <v>60</v>
      </c>
    </row>
    <row r="697" spans="1:31" ht="51" x14ac:dyDescent="0.2">
      <c r="A697" s="8" t="str">
        <f>HYPERLINK("http://www.patentics.cn/invokexml.do?sx=showpatent_cn&amp;sf=ShowPatent&amp;spn=US9705747&amp;sx=showpatent_cn&amp;sv=45f796921e97621c1e33943d482a62e7","US9705747")</f>
        <v>US9705747</v>
      </c>
      <c r="B697" s="9" t="s">
        <v>3491</v>
      </c>
      <c r="C697" s="9" t="s">
        <v>3492</v>
      </c>
      <c r="D697" s="9" t="s">
        <v>48</v>
      </c>
      <c r="E697" s="9" t="s">
        <v>49</v>
      </c>
      <c r="F697" s="9" t="s">
        <v>3493</v>
      </c>
      <c r="G697" s="9" t="s">
        <v>3490</v>
      </c>
      <c r="H697" s="9" t="s">
        <v>0</v>
      </c>
      <c r="I697" s="9" t="s">
        <v>3494</v>
      </c>
      <c r="J697" s="9" t="s">
        <v>1444</v>
      </c>
      <c r="K697" s="9" t="s">
        <v>68</v>
      </c>
      <c r="L697" s="9" t="s">
        <v>2448</v>
      </c>
      <c r="M697" s="9">
        <v>33</v>
      </c>
      <c r="N697" s="9">
        <v>15</v>
      </c>
      <c r="O697" s="9" t="s">
        <v>57</v>
      </c>
      <c r="P697" s="9" t="s">
        <v>58</v>
      </c>
      <c r="Q697" s="9">
        <v>59</v>
      </c>
      <c r="R697" s="9">
        <v>7</v>
      </c>
      <c r="S697" s="9">
        <v>52</v>
      </c>
      <c r="T697" s="9">
        <v>35</v>
      </c>
      <c r="U697" s="9">
        <v>0</v>
      </c>
      <c r="V697" s="9" t="s">
        <v>114</v>
      </c>
      <c r="W697" s="9">
        <v>0</v>
      </c>
      <c r="X697" s="9">
        <v>0</v>
      </c>
      <c r="Y697" s="9">
        <v>0</v>
      </c>
      <c r="Z697" s="9">
        <v>0</v>
      </c>
      <c r="AA697" s="9">
        <v>0</v>
      </c>
      <c r="AB697" s="9">
        <v>0</v>
      </c>
      <c r="AC697" s="9">
        <v>14</v>
      </c>
      <c r="AD697" s="9" t="s">
        <v>0</v>
      </c>
      <c r="AE697" s="9" t="s">
        <v>60</v>
      </c>
    </row>
    <row r="698" spans="1:31" ht="51" x14ac:dyDescent="0.2">
      <c r="A698" s="6" t="str">
        <f>HYPERLINK("http://www.patentics.cn/invokexml.do?sx=showpatent_cn&amp;sf=ShowPatent&amp;spn=CN101976451&amp;sx=showpatent_cn&amp;sv=40cc1d572dca560b5db30dcf908d3634","CN101976451")</f>
        <v>CN101976451</v>
      </c>
      <c r="B698" s="7" t="s">
        <v>3495</v>
      </c>
      <c r="C698" s="7" t="s">
        <v>3496</v>
      </c>
      <c r="D698" s="7" t="s">
        <v>932</v>
      </c>
      <c r="E698" s="7" t="s">
        <v>932</v>
      </c>
      <c r="F698" s="7" t="s">
        <v>3497</v>
      </c>
      <c r="G698" s="7" t="s">
        <v>3498</v>
      </c>
      <c r="H698" s="7" t="s">
        <v>3499</v>
      </c>
      <c r="I698" s="7" t="s">
        <v>3499</v>
      </c>
      <c r="J698" s="7" t="s">
        <v>3500</v>
      </c>
      <c r="K698" s="7" t="s">
        <v>2163</v>
      </c>
      <c r="L698" s="7" t="s">
        <v>3501</v>
      </c>
      <c r="M698" s="7">
        <v>7</v>
      </c>
      <c r="N698" s="7">
        <v>33</v>
      </c>
      <c r="O698" s="7" t="s">
        <v>42</v>
      </c>
      <c r="P698" s="7" t="s">
        <v>43</v>
      </c>
      <c r="Q698" s="7">
        <v>3</v>
      </c>
      <c r="R698" s="7">
        <v>0</v>
      </c>
      <c r="S698" s="7">
        <v>3</v>
      </c>
      <c r="T698" s="7">
        <v>3</v>
      </c>
      <c r="U698" s="7">
        <v>2</v>
      </c>
      <c r="V698" s="7" t="s">
        <v>3502</v>
      </c>
      <c r="W698" s="7">
        <v>0</v>
      </c>
      <c r="X698" s="7">
        <v>2</v>
      </c>
      <c r="Y698" s="7">
        <v>1</v>
      </c>
      <c r="Z698" s="7">
        <v>2</v>
      </c>
      <c r="AA698" s="7">
        <v>1</v>
      </c>
      <c r="AB698" s="7">
        <v>1</v>
      </c>
      <c r="AC698" s="7" t="s">
        <v>0</v>
      </c>
      <c r="AD698" s="7">
        <v>2</v>
      </c>
      <c r="AE698" s="7" t="s">
        <v>532</v>
      </c>
    </row>
    <row r="699" spans="1:31" ht="38.25" x14ac:dyDescent="0.2">
      <c r="A699" s="8" t="str">
        <f>HYPERLINK("http://www.patentics.cn/invokexml.do?sx=showpatent_cn&amp;sf=ShowPatent&amp;spn=US9538164&amp;sx=showpatent_cn&amp;sv=c536639a637cf137a6a917c3e584bc63","US9538164")</f>
        <v>US9538164</v>
      </c>
      <c r="B699" s="9" t="s">
        <v>3503</v>
      </c>
      <c r="C699" s="9" t="s">
        <v>3504</v>
      </c>
      <c r="D699" s="9" t="s">
        <v>48</v>
      </c>
      <c r="E699" s="9" t="s">
        <v>49</v>
      </c>
      <c r="F699" s="9" t="s">
        <v>3505</v>
      </c>
      <c r="G699" s="9" t="s">
        <v>3506</v>
      </c>
      <c r="H699" s="9" t="s">
        <v>3507</v>
      </c>
      <c r="I699" s="9" t="s">
        <v>3507</v>
      </c>
      <c r="J699" s="9" t="s">
        <v>3508</v>
      </c>
      <c r="K699" s="9" t="s">
        <v>2163</v>
      </c>
      <c r="L699" s="9" t="s">
        <v>3509</v>
      </c>
      <c r="M699" s="9">
        <v>31</v>
      </c>
      <c r="N699" s="9">
        <v>20</v>
      </c>
      <c r="O699" s="9" t="s">
        <v>57</v>
      </c>
      <c r="P699" s="9" t="s">
        <v>58</v>
      </c>
      <c r="Q699" s="9">
        <v>17</v>
      </c>
      <c r="R699" s="9">
        <v>2</v>
      </c>
      <c r="S699" s="9">
        <v>15</v>
      </c>
      <c r="T699" s="9">
        <v>13</v>
      </c>
      <c r="U699" s="9">
        <v>0</v>
      </c>
      <c r="V699" s="9" t="s">
        <v>114</v>
      </c>
      <c r="W699" s="9">
        <v>0</v>
      </c>
      <c r="X699" s="9">
        <v>0</v>
      </c>
      <c r="Y699" s="9">
        <v>0</v>
      </c>
      <c r="Z699" s="9">
        <v>0</v>
      </c>
      <c r="AA699" s="9">
        <v>6</v>
      </c>
      <c r="AB699" s="9">
        <v>6</v>
      </c>
      <c r="AC699" s="9">
        <v>14</v>
      </c>
      <c r="AD699" s="9" t="s">
        <v>0</v>
      </c>
      <c r="AE699" s="9" t="s">
        <v>60</v>
      </c>
    </row>
    <row r="700" spans="1:31" ht="25.5" x14ac:dyDescent="0.2">
      <c r="A700" s="8" t="str">
        <f>HYPERLINK("http://www.patentics.cn/invokexml.do?sx=showpatent_cn&amp;sf=ShowPatent&amp;spn=CN104904201B&amp;sx=showpatent_cn&amp;sv=7895104165f349171d1c6b3d41eb1f67","CN104904201B")</f>
        <v>CN104904201B</v>
      </c>
      <c r="B700" s="9" t="s">
        <v>3510</v>
      </c>
      <c r="C700" s="9" t="s">
        <v>3511</v>
      </c>
      <c r="D700" s="9" t="s">
        <v>301</v>
      </c>
      <c r="E700" s="9" t="s">
        <v>301</v>
      </c>
      <c r="F700" s="9" t="s">
        <v>3512</v>
      </c>
      <c r="G700" s="9" t="s">
        <v>3513</v>
      </c>
      <c r="H700" s="9" t="s">
        <v>3507</v>
      </c>
      <c r="I700" s="9" t="s">
        <v>3514</v>
      </c>
      <c r="J700" s="9" t="s">
        <v>3515</v>
      </c>
      <c r="K700" s="9" t="s">
        <v>714</v>
      </c>
      <c r="L700" s="9" t="s">
        <v>828</v>
      </c>
      <c r="M700" s="9">
        <v>30</v>
      </c>
      <c r="N700" s="9">
        <v>21</v>
      </c>
      <c r="O700" s="9" t="s">
        <v>57</v>
      </c>
      <c r="P700" s="9" t="s">
        <v>58</v>
      </c>
      <c r="Q700" s="9">
        <v>4</v>
      </c>
      <c r="R700" s="9">
        <v>0</v>
      </c>
      <c r="S700" s="9">
        <v>4</v>
      </c>
      <c r="T700" s="9">
        <v>4</v>
      </c>
      <c r="U700" s="9">
        <v>0</v>
      </c>
      <c r="V700" s="9" t="s">
        <v>114</v>
      </c>
      <c r="W700" s="9">
        <v>0</v>
      </c>
      <c r="X700" s="9">
        <v>0</v>
      </c>
      <c r="Y700" s="9">
        <v>0</v>
      </c>
      <c r="Z700" s="9">
        <v>0</v>
      </c>
      <c r="AA700" s="9">
        <v>0</v>
      </c>
      <c r="AB700" s="9">
        <v>0</v>
      </c>
      <c r="AC700" s="9">
        <v>14</v>
      </c>
      <c r="AD700" s="9" t="s">
        <v>0</v>
      </c>
      <c r="AE700" s="9" t="s">
        <v>60</v>
      </c>
    </row>
    <row r="701" spans="1:31" ht="25.5" x14ac:dyDescent="0.2">
      <c r="A701" s="6" t="str">
        <f>HYPERLINK("http://www.patentics.cn/invokexml.do?sx=showpatent_cn&amp;sf=ShowPatent&amp;spn=CN101924553&amp;sx=showpatent_cn&amp;sv=e1ba342b82a656bf2cc7a752afdc2853","CN101924553")</f>
        <v>CN101924553</v>
      </c>
      <c r="B701" s="7" t="s">
        <v>3516</v>
      </c>
      <c r="C701" s="7" t="s">
        <v>3517</v>
      </c>
      <c r="D701" s="7" t="s">
        <v>524</v>
      </c>
      <c r="E701" s="7" t="s">
        <v>524</v>
      </c>
      <c r="F701" s="7" t="s">
        <v>3518</v>
      </c>
      <c r="G701" s="7" t="s">
        <v>3519</v>
      </c>
      <c r="H701" s="7" t="s">
        <v>3520</v>
      </c>
      <c r="I701" s="7" t="s">
        <v>3520</v>
      </c>
      <c r="J701" s="7" t="s">
        <v>1183</v>
      </c>
      <c r="K701" s="7" t="s">
        <v>2207</v>
      </c>
      <c r="L701" s="7" t="s">
        <v>3521</v>
      </c>
      <c r="M701" s="7">
        <v>4</v>
      </c>
      <c r="N701" s="7">
        <v>10</v>
      </c>
      <c r="O701" s="7" t="s">
        <v>42</v>
      </c>
      <c r="P701" s="7" t="s">
        <v>43</v>
      </c>
      <c r="Q701" s="7">
        <v>3</v>
      </c>
      <c r="R701" s="7">
        <v>0</v>
      </c>
      <c r="S701" s="7">
        <v>3</v>
      </c>
      <c r="T701" s="7">
        <v>2</v>
      </c>
      <c r="U701" s="7">
        <v>8</v>
      </c>
      <c r="V701" s="7" t="s">
        <v>3522</v>
      </c>
      <c r="W701" s="7">
        <v>0</v>
      </c>
      <c r="X701" s="7">
        <v>8</v>
      </c>
      <c r="Y701" s="7">
        <v>4</v>
      </c>
      <c r="Z701" s="7">
        <v>3</v>
      </c>
      <c r="AA701" s="7">
        <v>1</v>
      </c>
      <c r="AB701" s="7">
        <v>1</v>
      </c>
      <c r="AC701" s="7" t="s">
        <v>0</v>
      </c>
      <c r="AD701" s="7">
        <v>2</v>
      </c>
      <c r="AE701" s="7" t="s">
        <v>532</v>
      </c>
    </row>
    <row r="702" spans="1:31" ht="63.75" x14ac:dyDescent="0.2">
      <c r="A702" s="8" t="str">
        <f>HYPERLINK("http://www.patentics.cn/invokexml.do?sx=showpatent_cn&amp;sf=ShowPatent&amp;spn=US8829954&amp;sx=showpatent_cn&amp;sv=e3b24d84f0d4a5e67129a4d864679993","US8829954")</f>
        <v>US8829954</v>
      </c>
      <c r="B702" s="9" t="s">
        <v>3523</v>
      </c>
      <c r="C702" s="9" t="s">
        <v>3524</v>
      </c>
      <c r="D702" s="9" t="s">
        <v>48</v>
      </c>
      <c r="E702" s="9" t="s">
        <v>49</v>
      </c>
      <c r="F702" s="9" t="s">
        <v>3525</v>
      </c>
      <c r="G702" s="9" t="s">
        <v>3526</v>
      </c>
      <c r="H702" s="9" t="s">
        <v>3527</v>
      </c>
      <c r="I702" s="9" t="s">
        <v>3527</v>
      </c>
      <c r="J702" s="9" t="s">
        <v>149</v>
      </c>
      <c r="K702" s="9" t="s">
        <v>2390</v>
      </c>
      <c r="L702" s="9" t="s">
        <v>3528</v>
      </c>
      <c r="M702" s="9">
        <v>43</v>
      </c>
      <c r="N702" s="9">
        <v>7</v>
      </c>
      <c r="O702" s="9" t="s">
        <v>57</v>
      </c>
      <c r="P702" s="9" t="s">
        <v>58</v>
      </c>
      <c r="Q702" s="9">
        <v>10</v>
      </c>
      <c r="R702" s="9">
        <v>4</v>
      </c>
      <c r="S702" s="9">
        <v>6</v>
      </c>
      <c r="T702" s="9">
        <v>6</v>
      </c>
      <c r="U702" s="9">
        <v>1</v>
      </c>
      <c r="V702" s="9" t="s">
        <v>1236</v>
      </c>
      <c r="W702" s="9">
        <v>0</v>
      </c>
      <c r="X702" s="9">
        <v>1</v>
      </c>
      <c r="Y702" s="9">
        <v>1</v>
      </c>
      <c r="Z702" s="9">
        <v>1</v>
      </c>
      <c r="AA702" s="9">
        <v>2</v>
      </c>
      <c r="AB702" s="9">
        <v>2</v>
      </c>
      <c r="AC702" s="9">
        <v>14</v>
      </c>
      <c r="AD702" s="9" t="s">
        <v>0</v>
      </c>
      <c r="AE702" s="9" t="s">
        <v>60</v>
      </c>
    </row>
    <row r="703" spans="1:31" ht="76.5" x14ac:dyDescent="0.2">
      <c r="A703" s="8" t="str">
        <f>HYPERLINK("http://www.patentics.cn/invokexml.do?sx=showpatent_cn&amp;sf=ShowPatent&amp;spn=WO2012129553&amp;sx=showpatent_cn&amp;sv=64d3cc0f34e904b3c1cf7b294ba35ffd","WO2012129553")</f>
        <v>WO2012129553</v>
      </c>
      <c r="B703" s="9" t="s">
        <v>3529</v>
      </c>
      <c r="C703" s="9" t="s">
        <v>3530</v>
      </c>
      <c r="D703" s="9" t="s">
        <v>117</v>
      </c>
      <c r="E703" s="9" t="s">
        <v>49</v>
      </c>
      <c r="F703" s="9" t="s">
        <v>3531</v>
      </c>
      <c r="G703" s="9" t="s">
        <v>3532</v>
      </c>
      <c r="H703" s="9" t="s">
        <v>3527</v>
      </c>
      <c r="I703" s="9" t="s">
        <v>3533</v>
      </c>
      <c r="J703" s="9" t="s">
        <v>3534</v>
      </c>
      <c r="K703" s="9" t="s">
        <v>368</v>
      </c>
      <c r="L703" s="9" t="s">
        <v>3535</v>
      </c>
      <c r="M703" s="9">
        <v>41</v>
      </c>
      <c r="N703" s="9">
        <v>5</v>
      </c>
      <c r="O703" s="9" t="s">
        <v>850</v>
      </c>
      <c r="P703" s="9" t="s">
        <v>58</v>
      </c>
      <c r="Q703" s="9">
        <v>3</v>
      </c>
      <c r="R703" s="9">
        <v>2</v>
      </c>
      <c r="S703" s="9">
        <v>1</v>
      </c>
      <c r="T703" s="9">
        <v>2</v>
      </c>
      <c r="U703" s="9">
        <v>0</v>
      </c>
      <c r="V703" s="9" t="s">
        <v>114</v>
      </c>
      <c r="W703" s="9">
        <v>0</v>
      </c>
      <c r="X703" s="9">
        <v>0</v>
      </c>
      <c r="Y703" s="9">
        <v>0</v>
      </c>
      <c r="Z703" s="9">
        <v>0</v>
      </c>
      <c r="AA703" s="9">
        <v>2</v>
      </c>
      <c r="AB703" s="9">
        <v>2</v>
      </c>
      <c r="AC703" s="9">
        <v>14</v>
      </c>
      <c r="AD703" s="9" t="s">
        <v>0</v>
      </c>
      <c r="AE703" s="9" t="s">
        <v>0</v>
      </c>
    </row>
    <row r="704" spans="1:31" ht="51" x14ac:dyDescent="0.2">
      <c r="A704" s="6" t="str">
        <f>HYPERLINK("http://www.patentics.cn/invokexml.do?sx=showpatent_cn&amp;sf=ShowPatent&amp;spn=CN101923492&amp;sx=showpatent_cn&amp;sv=390560f3ccd45eb03af418eec1241a21","CN101923492")</f>
        <v>CN101923492</v>
      </c>
      <c r="B704" s="7" t="s">
        <v>3536</v>
      </c>
      <c r="C704" s="7" t="s">
        <v>3537</v>
      </c>
      <c r="D704" s="7" t="s">
        <v>1341</v>
      </c>
      <c r="E704" s="7" t="s">
        <v>1341</v>
      </c>
      <c r="F704" s="7" t="s">
        <v>3538</v>
      </c>
      <c r="G704" s="7" t="s">
        <v>3539</v>
      </c>
      <c r="H704" s="7" t="s">
        <v>3540</v>
      </c>
      <c r="I704" s="7" t="s">
        <v>3540</v>
      </c>
      <c r="J704" s="7" t="s">
        <v>1183</v>
      </c>
      <c r="K704" s="7" t="s">
        <v>885</v>
      </c>
      <c r="L704" s="7" t="s">
        <v>1059</v>
      </c>
      <c r="M704" s="7">
        <v>4</v>
      </c>
      <c r="N704" s="7">
        <v>22</v>
      </c>
      <c r="O704" s="7" t="s">
        <v>42</v>
      </c>
      <c r="P704" s="7" t="s">
        <v>43</v>
      </c>
      <c r="Q704" s="7">
        <v>5</v>
      </c>
      <c r="R704" s="7">
        <v>3</v>
      </c>
      <c r="S704" s="7">
        <v>2</v>
      </c>
      <c r="T704" s="7">
        <v>3</v>
      </c>
      <c r="U704" s="7">
        <v>15</v>
      </c>
      <c r="V704" s="7" t="s">
        <v>3541</v>
      </c>
      <c r="W704" s="7">
        <v>0</v>
      </c>
      <c r="X704" s="7">
        <v>15</v>
      </c>
      <c r="Y704" s="7">
        <v>6</v>
      </c>
      <c r="Z704" s="7">
        <v>4</v>
      </c>
      <c r="AA704" s="7">
        <v>1</v>
      </c>
      <c r="AB704" s="7">
        <v>1</v>
      </c>
      <c r="AC704" s="7" t="s">
        <v>0</v>
      </c>
      <c r="AD704" s="7">
        <v>2</v>
      </c>
      <c r="AE704" s="7" t="s">
        <v>532</v>
      </c>
    </row>
    <row r="705" spans="1:31" ht="51" x14ac:dyDescent="0.2">
      <c r="A705" s="8" t="str">
        <f>HYPERLINK("http://www.patentics.cn/invokexml.do?sx=showpatent_cn&amp;sf=ShowPatent&amp;spn=US8799693&amp;sx=showpatent_cn&amp;sv=92f71f81655f6813186bc3e26589e8f4","US8799693")</f>
        <v>US8799693</v>
      </c>
      <c r="B705" s="9" t="s">
        <v>3542</v>
      </c>
      <c r="C705" s="9" t="s">
        <v>3543</v>
      </c>
      <c r="D705" s="9" t="s">
        <v>48</v>
      </c>
      <c r="E705" s="9" t="s">
        <v>49</v>
      </c>
      <c r="F705" s="9" t="s">
        <v>3544</v>
      </c>
      <c r="G705" s="9" t="s">
        <v>3545</v>
      </c>
      <c r="H705" s="9" t="s">
        <v>3546</v>
      </c>
      <c r="I705" s="9" t="s">
        <v>3547</v>
      </c>
      <c r="J705" s="9" t="s">
        <v>3548</v>
      </c>
      <c r="K705" s="9" t="s">
        <v>885</v>
      </c>
      <c r="L705" s="9" t="s">
        <v>1073</v>
      </c>
      <c r="M705" s="9">
        <v>38</v>
      </c>
      <c r="N705" s="9">
        <v>16</v>
      </c>
      <c r="O705" s="9" t="s">
        <v>57</v>
      </c>
      <c r="P705" s="9" t="s">
        <v>58</v>
      </c>
      <c r="Q705" s="9">
        <v>65</v>
      </c>
      <c r="R705" s="9">
        <v>4</v>
      </c>
      <c r="S705" s="9">
        <v>61</v>
      </c>
      <c r="T705" s="9">
        <v>28</v>
      </c>
      <c r="U705" s="9">
        <v>0</v>
      </c>
      <c r="V705" s="9" t="s">
        <v>114</v>
      </c>
      <c r="W705" s="9">
        <v>0</v>
      </c>
      <c r="X705" s="9">
        <v>0</v>
      </c>
      <c r="Y705" s="9">
        <v>0</v>
      </c>
      <c r="Z705" s="9">
        <v>0</v>
      </c>
      <c r="AA705" s="9">
        <v>7</v>
      </c>
      <c r="AB705" s="9">
        <v>6</v>
      </c>
      <c r="AC705" s="9">
        <v>14</v>
      </c>
      <c r="AD705" s="9" t="s">
        <v>0</v>
      </c>
      <c r="AE705" s="9" t="s">
        <v>60</v>
      </c>
    </row>
    <row r="706" spans="1:31" ht="51" x14ac:dyDescent="0.2">
      <c r="A706" s="8" t="str">
        <f>HYPERLINK("http://www.patentics.cn/invokexml.do?sx=showpatent_cn&amp;sf=ShowPatent&amp;spn=US9098309&amp;sx=showpatent_cn&amp;sv=eb32b9118116eb140c5638030029d70d","US9098309")</f>
        <v>US9098309</v>
      </c>
      <c r="B706" s="9" t="s">
        <v>3549</v>
      </c>
      <c r="C706" s="9" t="s">
        <v>3550</v>
      </c>
      <c r="D706" s="9" t="s">
        <v>48</v>
      </c>
      <c r="E706" s="9" t="s">
        <v>49</v>
      </c>
      <c r="F706" s="9" t="s">
        <v>3544</v>
      </c>
      <c r="G706" s="9" t="s">
        <v>3545</v>
      </c>
      <c r="H706" s="9" t="s">
        <v>3551</v>
      </c>
      <c r="I706" s="9" t="s">
        <v>3547</v>
      </c>
      <c r="J706" s="9" t="s">
        <v>3552</v>
      </c>
      <c r="K706" s="9" t="s">
        <v>885</v>
      </c>
      <c r="L706" s="9" t="s">
        <v>1080</v>
      </c>
      <c r="M706" s="9">
        <v>32</v>
      </c>
      <c r="N706" s="9">
        <v>16</v>
      </c>
      <c r="O706" s="9" t="s">
        <v>57</v>
      </c>
      <c r="P706" s="9" t="s">
        <v>58</v>
      </c>
      <c r="Q706" s="9">
        <v>77</v>
      </c>
      <c r="R706" s="9">
        <v>4</v>
      </c>
      <c r="S706" s="9">
        <v>73</v>
      </c>
      <c r="T706" s="9">
        <v>34</v>
      </c>
      <c r="U706" s="9">
        <v>2</v>
      </c>
      <c r="V706" s="9" t="s">
        <v>3553</v>
      </c>
      <c r="W706" s="9">
        <v>1</v>
      </c>
      <c r="X706" s="9">
        <v>1</v>
      </c>
      <c r="Y706" s="9">
        <v>2</v>
      </c>
      <c r="Z706" s="9">
        <v>1</v>
      </c>
      <c r="AA706" s="9">
        <v>2</v>
      </c>
      <c r="AB706" s="9">
        <v>2</v>
      </c>
      <c r="AC706" s="9">
        <v>14</v>
      </c>
      <c r="AD706" s="9" t="s">
        <v>0</v>
      </c>
      <c r="AE706" s="9" t="s">
        <v>60</v>
      </c>
    </row>
    <row r="707" spans="1:31" ht="25.5" x14ac:dyDescent="0.2">
      <c r="A707" s="6" t="str">
        <f>HYPERLINK("http://www.patentics.cn/invokexml.do?sx=showpatent_cn&amp;sf=ShowPatent&amp;spn=CN101859382&amp;sx=showpatent_cn&amp;sv=56c3bc9b84a75a2b88909240a213b8ef","CN101859382")</f>
        <v>CN101859382</v>
      </c>
      <c r="B707" s="7" t="s">
        <v>3554</v>
      </c>
      <c r="C707" s="7" t="s">
        <v>3555</v>
      </c>
      <c r="D707" s="7" t="s">
        <v>524</v>
      </c>
      <c r="E707" s="7" t="s">
        <v>524</v>
      </c>
      <c r="F707" s="7" t="s">
        <v>3556</v>
      </c>
      <c r="G707" s="7" t="s">
        <v>3557</v>
      </c>
      <c r="H707" s="7" t="s">
        <v>2646</v>
      </c>
      <c r="I707" s="7" t="s">
        <v>2646</v>
      </c>
      <c r="J707" s="7" t="s">
        <v>3558</v>
      </c>
      <c r="K707" s="7" t="s">
        <v>529</v>
      </c>
      <c r="L707" s="7" t="s">
        <v>1424</v>
      </c>
      <c r="M707" s="7">
        <v>5</v>
      </c>
      <c r="N707" s="7">
        <v>90</v>
      </c>
      <c r="O707" s="7" t="s">
        <v>42</v>
      </c>
      <c r="P707" s="7" t="s">
        <v>43</v>
      </c>
      <c r="Q707" s="7">
        <v>4</v>
      </c>
      <c r="R707" s="7">
        <v>0</v>
      </c>
      <c r="S707" s="7">
        <v>4</v>
      </c>
      <c r="T707" s="7">
        <v>4</v>
      </c>
      <c r="U707" s="7">
        <v>11</v>
      </c>
      <c r="V707" s="7" t="s">
        <v>3559</v>
      </c>
      <c r="W707" s="7">
        <v>0</v>
      </c>
      <c r="X707" s="7">
        <v>11</v>
      </c>
      <c r="Y707" s="7">
        <v>7</v>
      </c>
      <c r="Z707" s="7">
        <v>3</v>
      </c>
      <c r="AA707" s="7">
        <v>1</v>
      </c>
      <c r="AB707" s="7">
        <v>1</v>
      </c>
      <c r="AC707" s="7" t="s">
        <v>0</v>
      </c>
      <c r="AD707" s="7">
        <v>2</v>
      </c>
      <c r="AE707" s="7" t="s">
        <v>60</v>
      </c>
    </row>
    <row r="708" spans="1:31" ht="89.25" x14ac:dyDescent="0.2">
      <c r="A708" s="8" t="str">
        <f>HYPERLINK("http://www.patentics.cn/invokexml.do?sx=showpatent_cn&amp;sf=ShowPatent&amp;spn=US9460357&amp;sx=showpatent_cn&amp;sv=6fb1589cc669ea496bba4ec9d6d7d795","US9460357")</f>
        <v>US9460357</v>
      </c>
      <c r="B708" s="9" t="s">
        <v>3560</v>
      </c>
      <c r="C708" s="9" t="s">
        <v>3561</v>
      </c>
      <c r="D708" s="9" t="s">
        <v>48</v>
      </c>
      <c r="E708" s="9" t="s">
        <v>49</v>
      </c>
      <c r="F708" s="9" t="s">
        <v>3562</v>
      </c>
      <c r="G708" s="9" t="s">
        <v>3563</v>
      </c>
      <c r="H708" s="9" t="s">
        <v>1726</v>
      </c>
      <c r="I708" s="9" t="s">
        <v>1726</v>
      </c>
      <c r="J708" s="9" t="s">
        <v>283</v>
      </c>
      <c r="K708" s="9" t="s">
        <v>529</v>
      </c>
      <c r="L708" s="9" t="s">
        <v>1432</v>
      </c>
      <c r="M708" s="9">
        <v>28</v>
      </c>
      <c r="N708" s="9">
        <v>15</v>
      </c>
      <c r="O708" s="9" t="s">
        <v>57</v>
      </c>
      <c r="P708" s="9" t="s">
        <v>58</v>
      </c>
      <c r="Q708" s="9">
        <v>10</v>
      </c>
      <c r="R708" s="9">
        <v>1</v>
      </c>
      <c r="S708" s="9">
        <v>9</v>
      </c>
      <c r="T708" s="9">
        <v>7</v>
      </c>
      <c r="U708" s="9">
        <v>0</v>
      </c>
      <c r="V708" s="9" t="s">
        <v>114</v>
      </c>
      <c r="W708" s="9">
        <v>0</v>
      </c>
      <c r="X708" s="9">
        <v>0</v>
      </c>
      <c r="Y708" s="9">
        <v>0</v>
      </c>
      <c r="Z708" s="9">
        <v>0</v>
      </c>
      <c r="AA708" s="9">
        <v>2</v>
      </c>
      <c r="AB708" s="9">
        <v>2</v>
      </c>
      <c r="AC708" s="9">
        <v>14</v>
      </c>
      <c r="AD708" s="9" t="s">
        <v>0</v>
      </c>
      <c r="AE708" s="9" t="s">
        <v>60</v>
      </c>
    </row>
    <row r="709" spans="1:31" ht="89.25" x14ac:dyDescent="0.2">
      <c r="A709" s="8" t="str">
        <f>HYPERLINK("http://www.patentics.cn/invokexml.do?sx=showpatent_cn&amp;sf=ShowPatent&amp;spn=WO2015105755&amp;sx=showpatent_cn&amp;sv=4e08287e43bb2f18c5152345372fd40d","WO2015105755")</f>
        <v>WO2015105755</v>
      </c>
      <c r="B709" s="9" t="s">
        <v>3564</v>
      </c>
      <c r="C709" s="9" t="s">
        <v>3561</v>
      </c>
      <c r="D709" s="9" t="s">
        <v>117</v>
      </c>
      <c r="E709" s="9" t="s">
        <v>49</v>
      </c>
      <c r="F709" s="9" t="s">
        <v>3565</v>
      </c>
      <c r="G709" s="9" t="s">
        <v>3566</v>
      </c>
      <c r="H709" s="9" t="s">
        <v>1726</v>
      </c>
      <c r="I709" s="9" t="s">
        <v>3567</v>
      </c>
      <c r="J709" s="9" t="s">
        <v>3568</v>
      </c>
      <c r="K709" s="9" t="s">
        <v>529</v>
      </c>
      <c r="L709" s="9" t="s">
        <v>3569</v>
      </c>
      <c r="M709" s="9">
        <v>27</v>
      </c>
      <c r="N709" s="9">
        <v>11</v>
      </c>
      <c r="O709" s="9" t="s">
        <v>850</v>
      </c>
      <c r="P709" s="9" t="s">
        <v>58</v>
      </c>
      <c r="Q709" s="9">
        <v>3</v>
      </c>
      <c r="R709" s="9">
        <v>0</v>
      </c>
      <c r="S709" s="9">
        <v>3</v>
      </c>
      <c r="T709" s="9">
        <v>3</v>
      </c>
      <c r="U709" s="9">
        <v>0</v>
      </c>
      <c r="V709" s="9" t="s">
        <v>114</v>
      </c>
      <c r="W709" s="9">
        <v>0</v>
      </c>
      <c r="X709" s="9">
        <v>0</v>
      </c>
      <c r="Y709" s="9">
        <v>0</v>
      </c>
      <c r="Z709" s="9">
        <v>0</v>
      </c>
      <c r="AA709" s="9">
        <v>2</v>
      </c>
      <c r="AB709" s="9">
        <v>2</v>
      </c>
      <c r="AC709" s="9">
        <v>14</v>
      </c>
      <c r="AD709" s="9" t="s">
        <v>0</v>
      </c>
      <c r="AE709" s="9" t="s">
        <v>0</v>
      </c>
    </row>
    <row r="710" spans="1:31" ht="25.5" x14ac:dyDescent="0.2">
      <c r="A710" s="6" t="str">
        <f>HYPERLINK("http://www.patentics.cn/invokexml.do?sx=showpatent_cn&amp;sf=ShowPatent&amp;spn=CN101860216&amp;sx=showpatent_cn&amp;sv=49c648da147d76797f8b90123407580b","CN101860216")</f>
        <v>CN101860216</v>
      </c>
      <c r="B710" s="7" t="s">
        <v>3570</v>
      </c>
      <c r="C710" s="7" t="s">
        <v>3571</v>
      </c>
      <c r="D710" s="7" t="s">
        <v>3572</v>
      </c>
      <c r="E710" s="7" t="s">
        <v>3572</v>
      </c>
      <c r="F710" s="7" t="s">
        <v>3573</v>
      </c>
      <c r="G710" s="7" t="s">
        <v>3574</v>
      </c>
      <c r="H710" s="7" t="s">
        <v>2170</v>
      </c>
      <c r="I710" s="7" t="s">
        <v>2170</v>
      </c>
      <c r="J710" s="7" t="s">
        <v>3558</v>
      </c>
      <c r="K710" s="7" t="s">
        <v>3123</v>
      </c>
      <c r="L710" s="7" t="s">
        <v>3575</v>
      </c>
      <c r="M710" s="7">
        <v>1</v>
      </c>
      <c r="N710" s="7">
        <v>35</v>
      </c>
      <c r="O710" s="7" t="s">
        <v>42</v>
      </c>
      <c r="P710" s="7" t="s">
        <v>43</v>
      </c>
      <c r="Q710" s="7">
        <v>3</v>
      </c>
      <c r="R710" s="7">
        <v>1</v>
      </c>
      <c r="S710" s="7">
        <v>2</v>
      </c>
      <c r="T710" s="7">
        <v>2</v>
      </c>
      <c r="U710" s="7">
        <v>4</v>
      </c>
      <c r="V710" s="7" t="s">
        <v>3576</v>
      </c>
      <c r="W710" s="7">
        <v>0</v>
      </c>
      <c r="X710" s="7">
        <v>4</v>
      </c>
      <c r="Y710" s="7">
        <v>3</v>
      </c>
      <c r="Z710" s="7">
        <v>4</v>
      </c>
      <c r="AA710" s="7">
        <v>1</v>
      </c>
      <c r="AB710" s="7">
        <v>1</v>
      </c>
      <c r="AC710" s="7" t="s">
        <v>0</v>
      </c>
      <c r="AD710" s="7">
        <v>2</v>
      </c>
      <c r="AE710" s="7" t="s">
        <v>532</v>
      </c>
    </row>
    <row r="711" spans="1:31" ht="25.5" x14ac:dyDescent="0.2">
      <c r="A711" s="8" t="str">
        <f>HYPERLINK("http://www.patentics.cn/invokexml.do?sx=showpatent_cn&amp;sf=ShowPatent&amp;spn=US9196418&amp;sx=showpatent_cn&amp;sv=5f372a46fc931b767d31b78c5cb190fe","US9196418")</f>
        <v>US9196418</v>
      </c>
      <c r="B711" s="9" t="s">
        <v>3577</v>
      </c>
      <c r="C711" s="9" t="s">
        <v>3578</v>
      </c>
      <c r="D711" s="9" t="s">
        <v>48</v>
      </c>
      <c r="E711" s="9" t="s">
        <v>49</v>
      </c>
      <c r="F711" s="9" t="s">
        <v>3579</v>
      </c>
      <c r="G711" s="9" t="s">
        <v>3579</v>
      </c>
      <c r="H711" s="9" t="s">
        <v>3580</v>
      </c>
      <c r="I711" s="9" t="s">
        <v>2283</v>
      </c>
      <c r="J711" s="9" t="s">
        <v>3581</v>
      </c>
      <c r="K711" s="9" t="s">
        <v>540</v>
      </c>
      <c r="L711" s="9" t="s">
        <v>3582</v>
      </c>
      <c r="M711" s="9">
        <v>35</v>
      </c>
      <c r="N711" s="9">
        <v>8</v>
      </c>
      <c r="O711" s="9" t="s">
        <v>57</v>
      </c>
      <c r="P711" s="9" t="s">
        <v>58</v>
      </c>
      <c r="Q711" s="9">
        <v>11</v>
      </c>
      <c r="R711" s="9">
        <v>2</v>
      </c>
      <c r="S711" s="9">
        <v>9</v>
      </c>
      <c r="T711" s="9">
        <v>9</v>
      </c>
      <c r="U711" s="9">
        <v>0</v>
      </c>
      <c r="V711" s="9" t="s">
        <v>114</v>
      </c>
      <c r="W711" s="9">
        <v>0</v>
      </c>
      <c r="X711" s="9">
        <v>0</v>
      </c>
      <c r="Y711" s="9">
        <v>0</v>
      </c>
      <c r="Z711" s="9">
        <v>0</v>
      </c>
      <c r="AA711" s="9">
        <v>3</v>
      </c>
      <c r="AB711" s="9">
        <v>2</v>
      </c>
      <c r="AC711" s="9">
        <v>14</v>
      </c>
      <c r="AD711" s="9" t="s">
        <v>0</v>
      </c>
      <c r="AE711" s="9" t="s">
        <v>60</v>
      </c>
    </row>
    <row r="712" spans="1:31" ht="25.5" x14ac:dyDescent="0.2">
      <c r="A712" s="8" t="str">
        <f>HYPERLINK("http://www.patentics.cn/invokexml.do?sx=showpatent_cn&amp;sf=ShowPatent&amp;spn=WO2013126342A3&amp;sx=showpatent_cn&amp;sv=e27c917d2cc1e7fa95e9ddb8ce872bff","WO2013126342A3")</f>
        <v>WO2013126342A3</v>
      </c>
      <c r="B712" s="9" t="s">
        <v>3583</v>
      </c>
      <c r="C712" s="9" t="s">
        <v>3584</v>
      </c>
      <c r="D712" s="9" t="s">
        <v>3585</v>
      </c>
      <c r="E712" s="9" t="s">
        <v>49</v>
      </c>
      <c r="F712" s="9" t="s">
        <v>3586</v>
      </c>
      <c r="G712" s="9" t="s">
        <v>3586</v>
      </c>
      <c r="H712" s="9" t="s">
        <v>3580</v>
      </c>
      <c r="I712" s="9" t="s">
        <v>3580</v>
      </c>
      <c r="J712" s="9" t="s">
        <v>3587</v>
      </c>
      <c r="K712" s="9" t="s">
        <v>580</v>
      </c>
      <c r="L712" s="9" t="s">
        <v>1051</v>
      </c>
      <c r="M712" s="9">
        <v>0</v>
      </c>
      <c r="N712" s="9">
        <v>0</v>
      </c>
      <c r="O712" s="9" t="s">
        <v>850</v>
      </c>
      <c r="P712" s="9" t="s">
        <v>58</v>
      </c>
      <c r="Q712" s="9">
        <v>3</v>
      </c>
      <c r="R712" s="9">
        <v>1</v>
      </c>
      <c r="S712" s="9">
        <v>2</v>
      </c>
      <c r="T712" s="9">
        <v>3</v>
      </c>
      <c r="U712" s="9">
        <v>0</v>
      </c>
      <c r="V712" s="9" t="s">
        <v>114</v>
      </c>
      <c r="W712" s="9">
        <v>0</v>
      </c>
      <c r="X712" s="9">
        <v>0</v>
      </c>
      <c r="Y712" s="9">
        <v>0</v>
      </c>
      <c r="Z712" s="9">
        <v>0</v>
      </c>
      <c r="AA712" s="9">
        <v>3</v>
      </c>
      <c r="AB712" s="9">
        <v>2</v>
      </c>
      <c r="AC712" s="9">
        <v>14</v>
      </c>
      <c r="AD712" s="9" t="s">
        <v>0</v>
      </c>
      <c r="AE712" s="9" t="s">
        <v>0</v>
      </c>
    </row>
    <row r="713" spans="1:31" ht="38.25" x14ac:dyDescent="0.2">
      <c r="A713" s="6" t="str">
        <f>HYPERLINK("http://www.patentics.cn/invokexml.do?sx=showpatent_cn&amp;sf=ShowPatent&amp;spn=CN101841880&amp;sx=showpatent_cn&amp;sv=da7bfdbe9d3a0d1f88430ea8ea88f1d8","CN101841880")</f>
        <v>CN101841880</v>
      </c>
      <c r="B713" s="7" t="s">
        <v>3588</v>
      </c>
      <c r="C713" s="7" t="s">
        <v>3589</v>
      </c>
      <c r="D713" s="7" t="s">
        <v>432</v>
      </c>
      <c r="E713" s="7" t="s">
        <v>432</v>
      </c>
      <c r="F713" s="7" t="s">
        <v>3590</v>
      </c>
      <c r="G713" s="7" t="s">
        <v>1520</v>
      </c>
      <c r="H713" s="7" t="s">
        <v>3591</v>
      </c>
      <c r="I713" s="7" t="s">
        <v>3591</v>
      </c>
      <c r="J713" s="7" t="s">
        <v>1169</v>
      </c>
      <c r="K713" s="7" t="s">
        <v>55</v>
      </c>
      <c r="L713" s="7" t="s">
        <v>3141</v>
      </c>
      <c r="M713" s="7">
        <v>3</v>
      </c>
      <c r="N713" s="7">
        <v>25</v>
      </c>
      <c r="O713" s="7" t="s">
        <v>42</v>
      </c>
      <c r="P713" s="7" t="s">
        <v>43</v>
      </c>
      <c r="Q713" s="7">
        <v>6</v>
      </c>
      <c r="R713" s="7">
        <v>0</v>
      </c>
      <c r="S713" s="7">
        <v>6</v>
      </c>
      <c r="T713" s="7">
        <v>3</v>
      </c>
      <c r="U713" s="7">
        <v>36</v>
      </c>
      <c r="V713" s="7" t="s">
        <v>3592</v>
      </c>
      <c r="W713" s="7">
        <v>0</v>
      </c>
      <c r="X713" s="7">
        <v>36</v>
      </c>
      <c r="Y713" s="7">
        <v>13</v>
      </c>
      <c r="Z713" s="7">
        <v>4</v>
      </c>
      <c r="AA713" s="7">
        <v>1</v>
      </c>
      <c r="AB713" s="7">
        <v>1</v>
      </c>
      <c r="AC713" s="7" t="s">
        <v>0</v>
      </c>
      <c r="AD713" s="7">
        <v>2</v>
      </c>
      <c r="AE713" s="7" t="s">
        <v>532</v>
      </c>
    </row>
    <row r="714" spans="1:31" ht="51" x14ac:dyDescent="0.2">
      <c r="A714" s="8" t="str">
        <f>HYPERLINK("http://www.patentics.cn/invokexml.do?sx=showpatent_cn&amp;sf=ShowPatent&amp;spn=WO2016095115&amp;sx=showpatent_cn&amp;sv=4743364be3e3ed138354a24ec0b9d649","WO2016095115")</f>
        <v>WO2016095115</v>
      </c>
      <c r="B714" s="9" t="s">
        <v>3136</v>
      </c>
      <c r="C714" s="9" t="s">
        <v>3137</v>
      </c>
      <c r="D714" s="9" t="s">
        <v>117</v>
      </c>
      <c r="E714" s="9" t="s">
        <v>49</v>
      </c>
      <c r="F714" s="9" t="s">
        <v>3138</v>
      </c>
      <c r="G714" s="9" t="s">
        <v>3139</v>
      </c>
      <c r="H714" s="9" t="s">
        <v>1479</v>
      </c>
      <c r="I714" s="9" t="s">
        <v>1479</v>
      </c>
      <c r="J714" s="9" t="s">
        <v>3140</v>
      </c>
      <c r="K714" s="9" t="s">
        <v>55</v>
      </c>
      <c r="L714" s="9" t="s">
        <v>3141</v>
      </c>
      <c r="M714" s="9">
        <v>51</v>
      </c>
      <c r="N714" s="9">
        <v>0</v>
      </c>
      <c r="O714" s="9" t="s">
        <v>850</v>
      </c>
      <c r="P714" s="9" t="s">
        <v>43</v>
      </c>
      <c r="Q714" s="9">
        <v>6</v>
      </c>
      <c r="R714" s="9">
        <v>0</v>
      </c>
      <c r="S714" s="9">
        <v>6</v>
      </c>
      <c r="T714" s="9">
        <v>5</v>
      </c>
      <c r="U714" s="9">
        <v>0</v>
      </c>
      <c r="V714" s="9" t="s">
        <v>114</v>
      </c>
      <c r="W714" s="9">
        <v>0</v>
      </c>
      <c r="X714" s="9">
        <v>0</v>
      </c>
      <c r="Y714" s="9">
        <v>0</v>
      </c>
      <c r="Z714" s="9">
        <v>0</v>
      </c>
      <c r="AA714" s="9">
        <v>1</v>
      </c>
      <c r="AB714" s="9">
        <v>1</v>
      </c>
      <c r="AC714" s="9">
        <v>14</v>
      </c>
      <c r="AD714" s="9" t="s">
        <v>0</v>
      </c>
      <c r="AE714" s="9" t="s">
        <v>0</v>
      </c>
    </row>
    <row r="715" spans="1:31" ht="51" x14ac:dyDescent="0.2">
      <c r="A715" s="8" t="str">
        <f>HYPERLINK("http://www.patentics.cn/invokexml.do?sx=showpatent_cn&amp;sf=ShowPatent&amp;spn=WO2016095584&amp;sx=showpatent_cn&amp;sv=b904295d62640716bc725bde876eeaac","WO2016095584")</f>
        <v>WO2016095584</v>
      </c>
      <c r="B715" s="9" t="s">
        <v>3142</v>
      </c>
      <c r="C715" s="9" t="s">
        <v>3137</v>
      </c>
      <c r="D715" s="9" t="s">
        <v>117</v>
      </c>
      <c r="E715" s="9" t="s">
        <v>49</v>
      </c>
      <c r="F715" s="9" t="s">
        <v>3138</v>
      </c>
      <c r="G715" s="9" t="s">
        <v>3139</v>
      </c>
      <c r="H715" s="9" t="s">
        <v>1479</v>
      </c>
      <c r="I715" s="9" t="s">
        <v>3143</v>
      </c>
      <c r="J715" s="9" t="s">
        <v>3140</v>
      </c>
      <c r="K715" s="9" t="s">
        <v>55</v>
      </c>
      <c r="L715" s="9" t="s">
        <v>3141</v>
      </c>
      <c r="M715" s="9">
        <v>25</v>
      </c>
      <c r="N715" s="9">
        <v>0</v>
      </c>
      <c r="O715" s="9" t="s">
        <v>850</v>
      </c>
      <c r="P715" s="9" t="s">
        <v>43</v>
      </c>
      <c r="Q715" s="9">
        <v>5</v>
      </c>
      <c r="R715" s="9">
        <v>0</v>
      </c>
      <c r="S715" s="9">
        <v>5</v>
      </c>
      <c r="T715" s="9">
        <v>5</v>
      </c>
      <c r="U715" s="9">
        <v>0</v>
      </c>
      <c r="V715" s="9" t="s">
        <v>114</v>
      </c>
      <c r="W715" s="9">
        <v>0</v>
      </c>
      <c r="X715" s="9">
        <v>0</v>
      </c>
      <c r="Y715" s="9">
        <v>0</v>
      </c>
      <c r="Z715" s="9">
        <v>0</v>
      </c>
      <c r="AA715" s="9">
        <v>1</v>
      </c>
      <c r="AB715" s="9">
        <v>1</v>
      </c>
      <c r="AC715" s="9">
        <v>14</v>
      </c>
      <c r="AD715" s="9" t="s">
        <v>0</v>
      </c>
      <c r="AE715" s="9" t="s">
        <v>0</v>
      </c>
    </row>
    <row r="716" spans="1:31" ht="25.5" x14ac:dyDescent="0.2">
      <c r="A716" s="6" t="str">
        <f>HYPERLINK("http://www.patentics.cn/invokexml.do?sx=showpatent_cn&amp;sf=ShowPatent&amp;spn=CN101802810&amp;sx=showpatent_cn&amp;sv=09e72bfa444689a39570aec266ba9b9b","CN101802810")</f>
        <v>CN101802810</v>
      </c>
      <c r="B716" s="7" t="s">
        <v>3593</v>
      </c>
      <c r="C716" s="7" t="s">
        <v>3594</v>
      </c>
      <c r="D716" s="7" t="s">
        <v>3595</v>
      </c>
      <c r="E716" s="7" t="s">
        <v>3595</v>
      </c>
      <c r="F716" s="7" t="s">
        <v>3596</v>
      </c>
      <c r="G716" s="7" t="s">
        <v>3596</v>
      </c>
      <c r="H716" s="7" t="s">
        <v>3597</v>
      </c>
      <c r="I716" s="7" t="s">
        <v>3598</v>
      </c>
      <c r="J716" s="7" t="s">
        <v>3540</v>
      </c>
      <c r="K716" s="7" t="s">
        <v>885</v>
      </c>
      <c r="L716" s="7" t="s">
        <v>3599</v>
      </c>
      <c r="M716" s="7">
        <v>19</v>
      </c>
      <c r="N716" s="7">
        <v>16</v>
      </c>
      <c r="O716" s="7" t="s">
        <v>42</v>
      </c>
      <c r="P716" s="7" t="s">
        <v>3600</v>
      </c>
      <c r="Q716" s="7">
        <v>0</v>
      </c>
      <c r="R716" s="7">
        <v>0</v>
      </c>
      <c r="S716" s="7">
        <v>0</v>
      </c>
      <c r="T716" s="7">
        <v>0</v>
      </c>
      <c r="U716" s="7">
        <v>3</v>
      </c>
      <c r="V716" s="7" t="s">
        <v>3601</v>
      </c>
      <c r="W716" s="7">
        <v>0</v>
      </c>
      <c r="X716" s="7">
        <v>3</v>
      </c>
      <c r="Y716" s="7">
        <v>2</v>
      </c>
      <c r="Z716" s="7">
        <v>1</v>
      </c>
      <c r="AA716" s="7">
        <v>21</v>
      </c>
      <c r="AB716" s="7">
        <v>9</v>
      </c>
      <c r="AC716" s="7" t="s">
        <v>0</v>
      </c>
      <c r="AD716" s="7">
        <v>2</v>
      </c>
      <c r="AE716" s="7" t="s">
        <v>60</v>
      </c>
    </row>
    <row r="717" spans="1:31" ht="114.75" x14ac:dyDescent="0.2">
      <c r="A717" s="8" t="str">
        <f>HYPERLINK("http://www.patentics.cn/invokexml.do?sx=showpatent_cn&amp;sf=ShowPatent&amp;spn=CN103782282B&amp;sx=showpatent_cn&amp;sv=8995d18f5e2a4afd8e0593963850dc67","CN103782282B")</f>
        <v>CN103782282B</v>
      </c>
      <c r="B717" s="9" t="s">
        <v>3602</v>
      </c>
      <c r="C717" s="9" t="s">
        <v>3603</v>
      </c>
      <c r="D717" s="9" t="s">
        <v>301</v>
      </c>
      <c r="E717" s="9" t="s">
        <v>301</v>
      </c>
      <c r="F717" s="9" t="s">
        <v>3604</v>
      </c>
      <c r="G717" s="9" t="s">
        <v>3605</v>
      </c>
      <c r="H717" s="9" t="s">
        <v>3606</v>
      </c>
      <c r="I717" s="9" t="s">
        <v>2766</v>
      </c>
      <c r="J717" s="9" t="s">
        <v>3607</v>
      </c>
      <c r="K717" s="9" t="s">
        <v>885</v>
      </c>
      <c r="L717" s="9" t="s">
        <v>3608</v>
      </c>
      <c r="M717" s="9">
        <v>23</v>
      </c>
      <c r="N717" s="9">
        <v>10</v>
      </c>
      <c r="O717" s="9" t="s">
        <v>57</v>
      </c>
      <c r="P717" s="9" t="s">
        <v>58</v>
      </c>
      <c r="Q717" s="9">
        <v>1</v>
      </c>
      <c r="R717" s="9">
        <v>0</v>
      </c>
      <c r="S717" s="9">
        <v>1</v>
      </c>
      <c r="T717" s="9">
        <v>1</v>
      </c>
      <c r="U717" s="9">
        <v>0</v>
      </c>
      <c r="V717" s="9" t="s">
        <v>114</v>
      </c>
      <c r="W717" s="9">
        <v>0</v>
      </c>
      <c r="X717" s="9">
        <v>0</v>
      </c>
      <c r="Y717" s="9">
        <v>0</v>
      </c>
      <c r="Z717" s="9">
        <v>0</v>
      </c>
      <c r="AA717" s="9">
        <v>10</v>
      </c>
      <c r="AB717" s="9">
        <v>6</v>
      </c>
      <c r="AC717" s="9">
        <v>14</v>
      </c>
      <c r="AD717" s="9" t="s">
        <v>0</v>
      </c>
      <c r="AE717" s="9" t="s">
        <v>60</v>
      </c>
    </row>
    <row r="718" spans="1:31" ht="114.75" x14ac:dyDescent="0.2">
      <c r="A718" s="8" t="str">
        <f>HYPERLINK("http://www.patentics.cn/invokexml.do?sx=showpatent_cn&amp;sf=ShowPatent&amp;spn=CN103782282&amp;sx=showpatent_cn&amp;sv=2bada86febeabb5ad16e08a31f1b3f45","CN103782282")</f>
        <v>CN103782282</v>
      </c>
      <c r="B718" s="9" t="s">
        <v>3602</v>
      </c>
      <c r="C718" s="9" t="s">
        <v>3603</v>
      </c>
      <c r="D718" s="9" t="s">
        <v>301</v>
      </c>
      <c r="E718" s="9" t="s">
        <v>301</v>
      </c>
      <c r="F718" s="9" t="s">
        <v>3604</v>
      </c>
      <c r="G718" s="9" t="s">
        <v>3605</v>
      </c>
      <c r="H718" s="9" t="s">
        <v>3606</v>
      </c>
      <c r="I718" s="9" t="s">
        <v>2766</v>
      </c>
      <c r="J718" s="9" t="s">
        <v>2647</v>
      </c>
      <c r="K718" s="9" t="s">
        <v>885</v>
      </c>
      <c r="L718" s="9" t="s">
        <v>3608</v>
      </c>
      <c r="M718" s="9">
        <v>23</v>
      </c>
      <c r="N718" s="9">
        <v>8</v>
      </c>
      <c r="O718" s="9" t="s">
        <v>42</v>
      </c>
      <c r="P718" s="9" t="s">
        <v>58</v>
      </c>
      <c r="Q718" s="9">
        <v>3</v>
      </c>
      <c r="R718" s="9">
        <v>0</v>
      </c>
      <c r="S718" s="9">
        <v>3</v>
      </c>
      <c r="T718" s="9">
        <v>3</v>
      </c>
      <c r="U718" s="9">
        <v>0</v>
      </c>
      <c r="V718" s="9" t="s">
        <v>114</v>
      </c>
      <c r="W718" s="9">
        <v>0</v>
      </c>
      <c r="X718" s="9">
        <v>0</v>
      </c>
      <c r="Y718" s="9">
        <v>0</v>
      </c>
      <c r="Z718" s="9">
        <v>0</v>
      </c>
      <c r="AA718" s="9">
        <v>10</v>
      </c>
      <c r="AB718" s="9">
        <v>6</v>
      </c>
      <c r="AC718" s="9">
        <v>14</v>
      </c>
      <c r="AD718" s="9" t="s">
        <v>0</v>
      </c>
      <c r="AE718" s="9" t="s">
        <v>60</v>
      </c>
    </row>
    <row r="719" spans="1:31" ht="38.25" x14ac:dyDescent="0.2">
      <c r="A719" s="6" t="str">
        <f>HYPERLINK("http://www.patentics.cn/invokexml.do?sx=showpatent_cn&amp;sf=ShowPatent&amp;spn=CN101782743&amp;sx=showpatent_cn&amp;sv=32a5995b969a4a8917c5b3f1188e23ca","CN101782743")</f>
        <v>CN101782743</v>
      </c>
      <c r="B719" s="7" t="s">
        <v>3609</v>
      </c>
      <c r="C719" s="7" t="s">
        <v>3610</v>
      </c>
      <c r="D719" s="7" t="s">
        <v>3611</v>
      </c>
      <c r="E719" s="7" t="s">
        <v>3612</v>
      </c>
      <c r="F719" s="7" t="s">
        <v>3613</v>
      </c>
      <c r="G719" s="7" t="s">
        <v>3614</v>
      </c>
      <c r="H719" s="7" t="s">
        <v>0</v>
      </c>
      <c r="I719" s="7" t="s">
        <v>3615</v>
      </c>
      <c r="J719" s="7" t="s">
        <v>3616</v>
      </c>
      <c r="K719" s="7" t="s">
        <v>3617</v>
      </c>
      <c r="L719" s="7" t="s">
        <v>3618</v>
      </c>
      <c r="M719" s="7">
        <v>12</v>
      </c>
      <c r="N719" s="7">
        <v>16</v>
      </c>
      <c r="O719" s="7" t="s">
        <v>42</v>
      </c>
      <c r="P719" s="7" t="s">
        <v>43</v>
      </c>
      <c r="Q719" s="7">
        <v>0</v>
      </c>
      <c r="R719" s="7">
        <v>0</v>
      </c>
      <c r="S719" s="7">
        <v>0</v>
      </c>
      <c r="T719" s="7">
        <v>0</v>
      </c>
      <c r="U719" s="7">
        <v>10</v>
      </c>
      <c r="V719" s="7" t="s">
        <v>3619</v>
      </c>
      <c r="W719" s="7">
        <v>0</v>
      </c>
      <c r="X719" s="7">
        <v>10</v>
      </c>
      <c r="Y719" s="7">
        <v>6</v>
      </c>
      <c r="Z719" s="7">
        <v>2</v>
      </c>
      <c r="AA719" s="7">
        <v>0</v>
      </c>
      <c r="AB719" s="7">
        <v>0</v>
      </c>
      <c r="AC719" s="7" t="s">
        <v>0</v>
      </c>
      <c r="AD719" s="7">
        <v>2</v>
      </c>
      <c r="AE719" s="7" t="s">
        <v>45</v>
      </c>
    </row>
    <row r="720" spans="1:31" ht="63.75" x14ac:dyDescent="0.2">
      <c r="A720" s="8" t="str">
        <f>HYPERLINK("http://www.patentics.cn/invokexml.do?sx=showpatent_cn&amp;sf=ShowPatent&amp;spn=US9292790&amp;sx=showpatent_cn&amp;sv=01e242e823a368e7f29cdafceb45a7cc","US9292790")</f>
        <v>US9292790</v>
      </c>
      <c r="B720" s="9" t="s">
        <v>3620</v>
      </c>
      <c r="C720" s="9" t="s">
        <v>3621</v>
      </c>
      <c r="D720" s="9" t="s">
        <v>3622</v>
      </c>
      <c r="E720" s="9" t="s">
        <v>49</v>
      </c>
      <c r="F720" s="9" t="s">
        <v>3623</v>
      </c>
      <c r="G720" s="9" t="s">
        <v>3624</v>
      </c>
      <c r="H720" s="9" t="s">
        <v>3625</v>
      </c>
      <c r="I720" s="9" t="s">
        <v>3626</v>
      </c>
      <c r="J720" s="9" t="s">
        <v>798</v>
      </c>
      <c r="K720" s="9" t="s">
        <v>885</v>
      </c>
      <c r="L720" s="9" t="s">
        <v>907</v>
      </c>
      <c r="M720" s="9">
        <v>64</v>
      </c>
      <c r="N720" s="9">
        <v>6</v>
      </c>
      <c r="O720" s="9" t="s">
        <v>57</v>
      </c>
      <c r="P720" s="9" t="s">
        <v>58</v>
      </c>
      <c r="Q720" s="9">
        <v>19</v>
      </c>
      <c r="R720" s="9">
        <v>4</v>
      </c>
      <c r="S720" s="9">
        <v>15</v>
      </c>
      <c r="T720" s="9">
        <v>14</v>
      </c>
      <c r="U720" s="9">
        <v>0</v>
      </c>
      <c r="V720" s="9" t="s">
        <v>114</v>
      </c>
      <c r="W720" s="9">
        <v>0</v>
      </c>
      <c r="X720" s="9">
        <v>0</v>
      </c>
      <c r="Y720" s="9">
        <v>0</v>
      </c>
      <c r="Z720" s="9">
        <v>0</v>
      </c>
      <c r="AA720" s="9">
        <v>27</v>
      </c>
      <c r="AB720" s="9">
        <v>9</v>
      </c>
      <c r="AC720" s="9">
        <v>14</v>
      </c>
      <c r="AD720" s="9" t="s">
        <v>0</v>
      </c>
      <c r="AE720" s="9" t="s">
        <v>60</v>
      </c>
    </row>
    <row r="721" spans="1:31" ht="89.25" x14ac:dyDescent="0.2">
      <c r="A721" s="8" t="str">
        <f>HYPERLINK("http://www.patentics.cn/invokexml.do?sx=showpatent_cn&amp;sf=ShowPatent&amp;spn=US9477926&amp;sx=showpatent_cn&amp;sv=09f563d49f7c2669d8949510f288d727","US9477926")</f>
        <v>US9477926</v>
      </c>
      <c r="B721" s="9" t="s">
        <v>3627</v>
      </c>
      <c r="C721" s="9" t="s">
        <v>3621</v>
      </c>
      <c r="D721" s="9" t="s">
        <v>48</v>
      </c>
      <c r="E721" s="9" t="s">
        <v>49</v>
      </c>
      <c r="F721" s="9" t="s">
        <v>3628</v>
      </c>
      <c r="G721" s="9" t="s">
        <v>3629</v>
      </c>
      <c r="H721" s="9" t="s">
        <v>3625</v>
      </c>
      <c r="I721" s="9" t="s">
        <v>3626</v>
      </c>
      <c r="J721" s="9" t="s">
        <v>3630</v>
      </c>
      <c r="K721" s="9" t="s">
        <v>885</v>
      </c>
      <c r="L721" s="9" t="s">
        <v>907</v>
      </c>
      <c r="M721" s="9">
        <v>42</v>
      </c>
      <c r="N721" s="9">
        <v>5</v>
      </c>
      <c r="O721" s="9" t="s">
        <v>57</v>
      </c>
      <c r="P721" s="9" t="s">
        <v>58</v>
      </c>
      <c r="Q721" s="9">
        <v>24</v>
      </c>
      <c r="R721" s="9">
        <v>4</v>
      </c>
      <c r="S721" s="9">
        <v>20</v>
      </c>
      <c r="T721" s="9">
        <v>19</v>
      </c>
      <c r="U721" s="9">
        <v>0</v>
      </c>
      <c r="V721" s="9" t="s">
        <v>114</v>
      </c>
      <c r="W721" s="9">
        <v>0</v>
      </c>
      <c r="X721" s="9">
        <v>0</v>
      </c>
      <c r="Y721" s="9">
        <v>0</v>
      </c>
      <c r="Z721" s="9">
        <v>0</v>
      </c>
      <c r="AA721" s="9">
        <v>27</v>
      </c>
      <c r="AB721" s="9">
        <v>9</v>
      </c>
      <c r="AC721" s="9">
        <v>14</v>
      </c>
      <c r="AD721" s="9" t="s">
        <v>0</v>
      </c>
      <c r="AE721" s="9" t="s">
        <v>60</v>
      </c>
    </row>
    <row r="722" spans="1:31" ht="25.5" x14ac:dyDescent="0.2">
      <c r="A722" s="6" t="str">
        <f>HYPERLINK("http://www.patentics.cn/invokexml.do?sx=showpatent_cn&amp;sf=ShowPatent&amp;spn=CN101727182&amp;sx=showpatent_cn&amp;sv=3de9bb9f2c1094970eb4d3b93f751299","CN101727182")</f>
        <v>CN101727182</v>
      </c>
      <c r="B722" s="7" t="s">
        <v>3631</v>
      </c>
      <c r="C722" s="7" t="s">
        <v>3632</v>
      </c>
      <c r="D722" s="7" t="s">
        <v>3572</v>
      </c>
      <c r="E722" s="7" t="s">
        <v>3572</v>
      </c>
      <c r="F722" s="7" t="s">
        <v>3633</v>
      </c>
      <c r="G722" s="7" t="s">
        <v>3634</v>
      </c>
      <c r="H722" s="7" t="s">
        <v>3635</v>
      </c>
      <c r="I722" s="7" t="s">
        <v>3635</v>
      </c>
      <c r="J722" s="7" t="s">
        <v>3636</v>
      </c>
      <c r="K722" s="7" t="s">
        <v>885</v>
      </c>
      <c r="L722" s="7" t="s">
        <v>1300</v>
      </c>
      <c r="M722" s="7">
        <v>6</v>
      </c>
      <c r="N722" s="7">
        <v>31</v>
      </c>
      <c r="O722" s="7" t="s">
        <v>42</v>
      </c>
      <c r="P722" s="7" t="s">
        <v>43</v>
      </c>
      <c r="Q722" s="7">
        <v>1</v>
      </c>
      <c r="R722" s="7">
        <v>0</v>
      </c>
      <c r="S722" s="7">
        <v>1</v>
      </c>
      <c r="T722" s="7">
        <v>1</v>
      </c>
      <c r="U722" s="7">
        <v>7</v>
      </c>
      <c r="V722" s="7" t="s">
        <v>3637</v>
      </c>
      <c r="W722" s="7">
        <v>0</v>
      </c>
      <c r="X722" s="7">
        <v>7</v>
      </c>
      <c r="Y722" s="7">
        <v>4</v>
      </c>
      <c r="Z722" s="7">
        <v>2</v>
      </c>
      <c r="AA722" s="7">
        <v>1</v>
      </c>
      <c r="AB722" s="7">
        <v>1</v>
      </c>
      <c r="AC722" s="7" t="s">
        <v>0</v>
      </c>
      <c r="AD722" s="7">
        <v>2</v>
      </c>
      <c r="AE722" s="7" t="s">
        <v>60</v>
      </c>
    </row>
    <row r="723" spans="1:31" ht="89.25" x14ac:dyDescent="0.2">
      <c r="A723" s="8" t="str">
        <f>HYPERLINK("http://www.patentics.cn/invokexml.do?sx=showpatent_cn&amp;sf=ShowPatent&amp;spn=US9384594&amp;sx=showpatent_cn&amp;sv=e367bc17f49926329f368367cbc3238f","US9384594")</f>
        <v>US9384594</v>
      </c>
      <c r="B723" s="9" t="s">
        <v>3638</v>
      </c>
      <c r="C723" s="9" t="s">
        <v>3639</v>
      </c>
      <c r="D723" s="9" t="s">
        <v>48</v>
      </c>
      <c r="E723" s="9" t="s">
        <v>49</v>
      </c>
      <c r="F723" s="9" t="s">
        <v>3640</v>
      </c>
      <c r="G723" s="9" t="s">
        <v>3641</v>
      </c>
      <c r="H723" s="9" t="s">
        <v>3642</v>
      </c>
      <c r="I723" s="9" t="s">
        <v>3643</v>
      </c>
      <c r="J723" s="9" t="s">
        <v>809</v>
      </c>
      <c r="K723" s="9" t="s">
        <v>714</v>
      </c>
      <c r="L723" s="9" t="s">
        <v>3644</v>
      </c>
      <c r="M723" s="9">
        <v>108</v>
      </c>
      <c r="N723" s="9">
        <v>15</v>
      </c>
      <c r="O723" s="9" t="s">
        <v>57</v>
      </c>
      <c r="P723" s="9" t="s">
        <v>58</v>
      </c>
      <c r="Q723" s="9">
        <v>84</v>
      </c>
      <c r="R723" s="9">
        <v>0</v>
      </c>
      <c r="S723" s="9">
        <v>84</v>
      </c>
      <c r="T723" s="9">
        <v>45</v>
      </c>
      <c r="U723" s="9">
        <v>1</v>
      </c>
      <c r="V723" s="9" t="s">
        <v>114</v>
      </c>
      <c r="W723" s="9">
        <v>0</v>
      </c>
      <c r="X723" s="9">
        <v>1</v>
      </c>
      <c r="Y723" s="9">
        <v>1</v>
      </c>
      <c r="Z723" s="9">
        <v>1</v>
      </c>
      <c r="AA723" s="9">
        <v>36</v>
      </c>
      <c r="AB723" s="9">
        <v>6</v>
      </c>
      <c r="AC723" s="9">
        <v>14</v>
      </c>
      <c r="AD723" s="9" t="s">
        <v>0</v>
      </c>
      <c r="AE723" s="9" t="s">
        <v>60</v>
      </c>
    </row>
    <row r="724" spans="1:31" ht="51" x14ac:dyDescent="0.2">
      <c r="A724" s="8" t="str">
        <f>HYPERLINK("http://www.patentics.cn/invokexml.do?sx=showpatent_cn&amp;sf=ShowPatent&amp;spn=CN103493106&amp;sx=showpatent_cn&amp;sv=8f853c32ddb07c0199436800d720256d","CN103493106")</f>
        <v>CN103493106</v>
      </c>
      <c r="B724" s="9" t="s">
        <v>3645</v>
      </c>
      <c r="C724" s="9" t="s">
        <v>3646</v>
      </c>
      <c r="D724" s="9" t="s">
        <v>301</v>
      </c>
      <c r="E724" s="9" t="s">
        <v>301</v>
      </c>
      <c r="F724" s="9" t="s">
        <v>3647</v>
      </c>
      <c r="G724" s="9" t="s">
        <v>3648</v>
      </c>
      <c r="H724" s="9" t="s">
        <v>3642</v>
      </c>
      <c r="I724" s="9" t="s">
        <v>3643</v>
      </c>
      <c r="J724" s="9" t="s">
        <v>3649</v>
      </c>
      <c r="K724" s="9" t="s">
        <v>2163</v>
      </c>
      <c r="L724" s="9" t="s">
        <v>3650</v>
      </c>
      <c r="M724" s="9">
        <v>64</v>
      </c>
      <c r="N724" s="9">
        <v>10</v>
      </c>
      <c r="O724" s="9" t="s">
        <v>42</v>
      </c>
      <c r="P724" s="9" t="s">
        <v>58</v>
      </c>
      <c r="Q724" s="9">
        <v>6</v>
      </c>
      <c r="R724" s="9">
        <v>0</v>
      </c>
      <c r="S724" s="9">
        <v>6</v>
      </c>
      <c r="T724" s="9">
        <v>2</v>
      </c>
      <c r="U724" s="9">
        <v>0</v>
      </c>
      <c r="V724" s="9" t="s">
        <v>114</v>
      </c>
      <c r="W724" s="9">
        <v>0</v>
      </c>
      <c r="X724" s="9">
        <v>0</v>
      </c>
      <c r="Y724" s="9">
        <v>0</v>
      </c>
      <c r="Z724" s="9">
        <v>0</v>
      </c>
      <c r="AA724" s="9">
        <v>36</v>
      </c>
      <c r="AB724" s="9">
        <v>6</v>
      </c>
      <c r="AC724" s="9">
        <v>14</v>
      </c>
      <c r="AD724" s="9" t="s">
        <v>0</v>
      </c>
      <c r="AE724" s="9" t="s">
        <v>3651</v>
      </c>
    </row>
    <row r="725" spans="1:31" ht="89.25" x14ac:dyDescent="0.2">
      <c r="A725" s="6" t="str">
        <f>HYPERLINK("http://www.patentics.cn/invokexml.do?sx=showpatent_cn&amp;sf=ShowPatent&amp;spn=CN101682216&amp;sx=showpatent_cn&amp;sv=0ac7959cea211a65c886fdb1ff5429a7","CN101682216")</f>
        <v>CN101682216</v>
      </c>
      <c r="B725" s="7" t="s">
        <v>3652</v>
      </c>
      <c r="C725" s="7" t="s">
        <v>3653</v>
      </c>
      <c r="D725" s="7" t="s">
        <v>3654</v>
      </c>
      <c r="E725" s="7" t="s">
        <v>3654</v>
      </c>
      <c r="F725" s="7" t="s">
        <v>3655</v>
      </c>
      <c r="G725" s="7" t="s">
        <v>3656</v>
      </c>
      <c r="H725" s="7" t="s">
        <v>3657</v>
      </c>
      <c r="I725" s="7" t="s">
        <v>2040</v>
      </c>
      <c r="J725" s="7" t="s">
        <v>3658</v>
      </c>
      <c r="K725" s="7" t="s">
        <v>580</v>
      </c>
      <c r="L725" s="7" t="s">
        <v>589</v>
      </c>
      <c r="M725" s="7">
        <v>366</v>
      </c>
      <c r="N725" s="7">
        <v>11</v>
      </c>
      <c r="O725" s="7" t="s">
        <v>42</v>
      </c>
      <c r="P725" s="7" t="s">
        <v>58</v>
      </c>
      <c r="Q725" s="7">
        <v>0</v>
      </c>
      <c r="R725" s="7">
        <v>0</v>
      </c>
      <c r="S725" s="7">
        <v>0</v>
      </c>
      <c r="T725" s="7">
        <v>0</v>
      </c>
      <c r="U725" s="7">
        <v>81</v>
      </c>
      <c r="V725" s="7" t="s">
        <v>3659</v>
      </c>
      <c r="W725" s="7">
        <v>6</v>
      </c>
      <c r="X725" s="7">
        <v>75</v>
      </c>
      <c r="Y725" s="7">
        <v>12</v>
      </c>
      <c r="Z725" s="7">
        <v>3</v>
      </c>
      <c r="AA725" s="7">
        <v>33</v>
      </c>
      <c r="AB725" s="7">
        <v>8</v>
      </c>
      <c r="AC725" s="7" t="s">
        <v>0</v>
      </c>
      <c r="AD725" s="7">
        <v>2</v>
      </c>
      <c r="AE725" s="7" t="s">
        <v>60</v>
      </c>
    </row>
    <row r="726" spans="1:31" ht="63.75" x14ac:dyDescent="0.2">
      <c r="A726" s="8" t="str">
        <f>HYPERLINK("http://www.patentics.cn/invokexml.do?sx=showpatent_cn&amp;sf=ShowPatent&amp;spn=US8766482&amp;sx=showpatent_cn&amp;sv=fb2df93fb76f21b66fcfe7d1c06d6ece","US8766482")</f>
        <v>US8766482</v>
      </c>
      <c r="B726" s="9" t="s">
        <v>3660</v>
      </c>
      <c r="C726" s="9" t="s">
        <v>3661</v>
      </c>
      <c r="D726" s="9" t="s">
        <v>48</v>
      </c>
      <c r="E726" s="9" t="s">
        <v>49</v>
      </c>
      <c r="F726" s="9" t="s">
        <v>991</v>
      </c>
      <c r="G726" s="9" t="s">
        <v>992</v>
      </c>
      <c r="H726" s="9" t="s">
        <v>3662</v>
      </c>
      <c r="I726" s="9" t="s">
        <v>3663</v>
      </c>
      <c r="J726" s="9" t="s">
        <v>397</v>
      </c>
      <c r="K726" s="9" t="s">
        <v>540</v>
      </c>
      <c r="L726" s="9" t="s">
        <v>563</v>
      </c>
      <c r="M726" s="9">
        <v>21</v>
      </c>
      <c r="N726" s="9">
        <v>11</v>
      </c>
      <c r="O726" s="9" t="s">
        <v>57</v>
      </c>
      <c r="P726" s="9" t="s">
        <v>58</v>
      </c>
      <c r="Q726" s="9">
        <v>21</v>
      </c>
      <c r="R726" s="9">
        <v>0</v>
      </c>
      <c r="S726" s="9">
        <v>21</v>
      </c>
      <c r="T726" s="9">
        <v>12</v>
      </c>
      <c r="U726" s="9">
        <v>1</v>
      </c>
      <c r="V726" s="9" t="s">
        <v>82</v>
      </c>
      <c r="W726" s="9">
        <v>1</v>
      </c>
      <c r="X726" s="9">
        <v>0</v>
      </c>
      <c r="Y726" s="9">
        <v>1</v>
      </c>
      <c r="Z726" s="9">
        <v>1</v>
      </c>
      <c r="AA726" s="9">
        <v>16</v>
      </c>
      <c r="AB726" s="9">
        <v>6</v>
      </c>
      <c r="AC726" s="9">
        <v>14</v>
      </c>
      <c r="AD726" s="9" t="s">
        <v>0</v>
      </c>
      <c r="AE726" s="9" t="s">
        <v>60</v>
      </c>
    </row>
    <row r="727" spans="1:31" ht="63.75" x14ac:dyDescent="0.2">
      <c r="A727" s="8" t="str">
        <f>HYPERLINK("http://www.patentics.cn/invokexml.do?sx=showpatent_cn&amp;sf=ShowPatent&amp;spn=US9793765&amp;sx=showpatent_cn&amp;sv=476fb60bdb684a20e35876bccdddff7d","US9793765")</f>
        <v>US9793765</v>
      </c>
      <c r="B727" s="9" t="s">
        <v>3664</v>
      </c>
      <c r="C727" s="9" t="s">
        <v>3661</v>
      </c>
      <c r="D727" s="9" t="s">
        <v>48</v>
      </c>
      <c r="E727" s="9" t="s">
        <v>49</v>
      </c>
      <c r="F727" s="9" t="s">
        <v>3665</v>
      </c>
      <c r="G727" s="9" t="s">
        <v>992</v>
      </c>
      <c r="H727" s="9" t="s">
        <v>0</v>
      </c>
      <c r="I727" s="9" t="s">
        <v>3666</v>
      </c>
      <c r="J727" s="9" t="s">
        <v>3347</v>
      </c>
      <c r="K727" s="9" t="s">
        <v>540</v>
      </c>
      <c r="L727" s="9" t="s">
        <v>563</v>
      </c>
      <c r="M727" s="9">
        <v>21</v>
      </c>
      <c r="N727" s="9">
        <v>7</v>
      </c>
      <c r="O727" s="9" t="s">
        <v>57</v>
      </c>
      <c r="P727" s="9" t="s">
        <v>58</v>
      </c>
      <c r="Q727" s="9">
        <v>38</v>
      </c>
      <c r="R727" s="9">
        <v>1</v>
      </c>
      <c r="S727" s="9">
        <v>37</v>
      </c>
      <c r="T727" s="9">
        <v>23</v>
      </c>
      <c r="U727" s="9">
        <v>0</v>
      </c>
      <c r="V727" s="9" t="s">
        <v>114</v>
      </c>
      <c r="W727" s="9">
        <v>0</v>
      </c>
      <c r="X727" s="9">
        <v>0</v>
      </c>
      <c r="Y727" s="9">
        <v>0</v>
      </c>
      <c r="Z727" s="9">
        <v>0</v>
      </c>
      <c r="AA727" s="9">
        <v>0</v>
      </c>
      <c r="AB727" s="9">
        <v>0</v>
      </c>
      <c r="AC727" s="9">
        <v>14</v>
      </c>
      <c r="AD727" s="9" t="s">
        <v>0</v>
      </c>
      <c r="AE727" s="9" t="s">
        <v>60</v>
      </c>
    </row>
    <row r="728" spans="1:31" ht="38.25" x14ac:dyDescent="0.2">
      <c r="A728" s="6" t="str">
        <f>HYPERLINK("http://www.patentics.cn/invokexml.do?sx=showpatent_cn&amp;sf=ShowPatent&amp;spn=CN101646175&amp;sx=showpatent_cn&amp;sv=7f46d39731eb45b447b2da61fa638662","CN101646175")</f>
        <v>CN101646175</v>
      </c>
      <c r="B728" s="7" t="s">
        <v>3667</v>
      </c>
      <c r="C728" s="7" t="s">
        <v>3668</v>
      </c>
      <c r="D728" s="7" t="s">
        <v>3483</v>
      </c>
      <c r="E728" s="7" t="s">
        <v>3483</v>
      </c>
      <c r="F728" s="7" t="s">
        <v>3669</v>
      </c>
      <c r="G728" s="7" t="s">
        <v>3670</v>
      </c>
      <c r="H728" s="7" t="s">
        <v>3671</v>
      </c>
      <c r="I728" s="7" t="s">
        <v>3671</v>
      </c>
      <c r="J728" s="7" t="s">
        <v>2074</v>
      </c>
      <c r="K728" s="7" t="s">
        <v>55</v>
      </c>
      <c r="L728" s="7" t="s">
        <v>2529</v>
      </c>
      <c r="M728" s="7">
        <v>10</v>
      </c>
      <c r="N728" s="7">
        <v>25</v>
      </c>
      <c r="O728" s="7" t="s">
        <v>42</v>
      </c>
      <c r="P728" s="7" t="s">
        <v>43</v>
      </c>
      <c r="Q728" s="7">
        <v>0</v>
      </c>
      <c r="R728" s="7">
        <v>0</v>
      </c>
      <c r="S728" s="7">
        <v>0</v>
      </c>
      <c r="T728" s="7">
        <v>0</v>
      </c>
      <c r="U728" s="7">
        <v>3</v>
      </c>
      <c r="V728" s="7" t="s">
        <v>3672</v>
      </c>
      <c r="W728" s="7">
        <v>0</v>
      </c>
      <c r="X728" s="7">
        <v>3</v>
      </c>
      <c r="Y728" s="7">
        <v>2</v>
      </c>
      <c r="Z728" s="7">
        <v>2</v>
      </c>
      <c r="AA728" s="7">
        <v>1</v>
      </c>
      <c r="AB728" s="7">
        <v>1</v>
      </c>
      <c r="AC728" s="7" t="s">
        <v>0</v>
      </c>
      <c r="AD728" s="7">
        <v>2</v>
      </c>
      <c r="AE728" s="7" t="s">
        <v>60</v>
      </c>
    </row>
    <row r="729" spans="1:31" ht="63.75" x14ac:dyDescent="0.2">
      <c r="A729" s="8" t="str">
        <f>HYPERLINK("http://www.patentics.cn/invokexml.do?sx=showpatent_cn&amp;sf=ShowPatent&amp;spn=WO2014190547&amp;sx=showpatent_cn&amp;sv=dcaf865792e4b64d79d5560c6b9f7cb0","WO2014190547")</f>
        <v>WO2014190547</v>
      </c>
      <c r="B729" s="9" t="s">
        <v>3673</v>
      </c>
      <c r="C729" s="9" t="s">
        <v>3674</v>
      </c>
      <c r="D729" s="9" t="s">
        <v>117</v>
      </c>
      <c r="E729" s="9" t="s">
        <v>49</v>
      </c>
      <c r="F729" s="9" t="s">
        <v>2230</v>
      </c>
      <c r="G729" s="9" t="s">
        <v>2231</v>
      </c>
      <c r="H729" s="9" t="s">
        <v>3675</v>
      </c>
      <c r="I729" s="9" t="s">
        <v>3675</v>
      </c>
      <c r="J729" s="9" t="s">
        <v>3676</v>
      </c>
      <c r="K729" s="9" t="s">
        <v>55</v>
      </c>
      <c r="L729" s="9" t="s">
        <v>2529</v>
      </c>
      <c r="M729" s="9">
        <v>54</v>
      </c>
      <c r="N729" s="9">
        <v>14</v>
      </c>
      <c r="O729" s="9" t="s">
        <v>850</v>
      </c>
      <c r="P729" s="9" t="s">
        <v>43</v>
      </c>
      <c r="Q729" s="9">
        <v>3</v>
      </c>
      <c r="R729" s="9">
        <v>0</v>
      </c>
      <c r="S729" s="9">
        <v>3</v>
      </c>
      <c r="T729" s="9">
        <v>3</v>
      </c>
      <c r="U729" s="9">
        <v>8</v>
      </c>
      <c r="V729" s="9" t="s">
        <v>114</v>
      </c>
      <c r="W729" s="9">
        <v>0</v>
      </c>
      <c r="X729" s="9">
        <v>8</v>
      </c>
      <c r="Y729" s="9">
        <v>0</v>
      </c>
      <c r="Z729" s="9">
        <v>1</v>
      </c>
      <c r="AA729" s="9">
        <v>4</v>
      </c>
      <c r="AB729" s="9">
        <v>4</v>
      </c>
      <c r="AC729" s="9">
        <v>14</v>
      </c>
      <c r="AD729" s="9" t="s">
        <v>0</v>
      </c>
      <c r="AE729" s="9" t="s">
        <v>0</v>
      </c>
    </row>
    <row r="730" spans="1:31" ht="89.25" x14ac:dyDescent="0.2">
      <c r="A730" s="8" t="str">
        <f>HYPERLINK("http://www.patentics.cn/invokexml.do?sx=showpatent_cn&amp;sf=ShowPatent&amp;spn=WO2014190903&amp;sx=showpatent_cn&amp;sv=dad1a05d3230e22abf1db1cee241bbcd","WO2014190903")</f>
        <v>WO2014190903</v>
      </c>
      <c r="B730" s="9" t="s">
        <v>3677</v>
      </c>
      <c r="C730" s="9" t="s">
        <v>3678</v>
      </c>
      <c r="D730" s="9" t="s">
        <v>117</v>
      </c>
      <c r="E730" s="9" t="s">
        <v>49</v>
      </c>
      <c r="F730" s="9" t="s">
        <v>3679</v>
      </c>
      <c r="G730" s="9" t="s">
        <v>2241</v>
      </c>
      <c r="H730" s="9" t="s">
        <v>3675</v>
      </c>
      <c r="I730" s="9" t="s">
        <v>3680</v>
      </c>
      <c r="J730" s="9" t="s">
        <v>3676</v>
      </c>
      <c r="K730" s="9" t="s">
        <v>68</v>
      </c>
      <c r="L730" s="9" t="s">
        <v>1668</v>
      </c>
      <c r="M730" s="9">
        <v>35</v>
      </c>
      <c r="N730" s="9">
        <v>21</v>
      </c>
      <c r="O730" s="9" t="s">
        <v>850</v>
      </c>
      <c r="P730" s="9" t="s">
        <v>43</v>
      </c>
      <c r="Q730" s="9">
        <v>4</v>
      </c>
      <c r="R730" s="9">
        <v>0</v>
      </c>
      <c r="S730" s="9">
        <v>4</v>
      </c>
      <c r="T730" s="9">
        <v>3</v>
      </c>
      <c r="U730" s="9">
        <v>9</v>
      </c>
      <c r="V730" s="9" t="s">
        <v>137</v>
      </c>
      <c r="W730" s="9">
        <v>0</v>
      </c>
      <c r="X730" s="9">
        <v>9</v>
      </c>
      <c r="Y730" s="9">
        <v>1</v>
      </c>
      <c r="Z730" s="9">
        <v>2</v>
      </c>
      <c r="AA730" s="9">
        <v>4</v>
      </c>
      <c r="AB730" s="9">
        <v>4</v>
      </c>
      <c r="AC730" s="9">
        <v>14</v>
      </c>
      <c r="AD730" s="9" t="s">
        <v>0</v>
      </c>
      <c r="AE730" s="9" t="s">
        <v>0</v>
      </c>
    </row>
    <row r="731" spans="1:31" ht="51" x14ac:dyDescent="0.2">
      <c r="A731" s="6" t="str">
        <f>HYPERLINK("http://www.patentics.cn/invokexml.do?sx=showpatent_cn&amp;sf=ShowPatent&amp;spn=CN101640809&amp;sx=showpatent_cn&amp;sv=570d3d06c8d747cb3db721e3a2d30c1d","CN101640809")</f>
        <v>CN101640809</v>
      </c>
      <c r="B731" s="7" t="s">
        <v>3681</v>
      </c>
      <c r="C731" s="7" t="s">
        <v>3682</v>
      </c>
      <c r="D731" s="7" t="s">
        <v>923</v>
      </c>
      <c r="E731" s="7" t="s">
        <v>923</v>
      </c>
      <c r="F731" s="7" t="s">
        <v>3683</v>
      </c>
      <c r="G731" s="7" t="s">
        <v>3684</v>
      </c>
      <c r="H731" s="7" t="s">
        <v>3685</v>
      </c>
      <c r="I731" s="7" t="s">
        <v>3685</v>
      </c>
      <c r="J731" s="7" t="s">
        <v>3686</v>
      </c>
      <c r="K731" s="7" t="s">
        <v>714</v>
      </c>
      <c r="L731" s="7" t="s">
        <v>3448</v>
      </c>
      <c r="M731" s="7">
        <v>7</v>
      </c>
      <c r="N731" s="7">
        <v>23</v>
      </c>
      <c r="O731" s="7" t="s">
        <v>42</v>
      </c>
      <c r="P731" s="7" t="s">
        <v>43</v>
      </c>
      <c r="Q731" s="7">
        <v>0</v>
      </c>
      <c r="R731" s="7">
        <v>0</v>
      </c>
      <c r="S731" s="7">
        <v>0</v>
      </c>
      <c r="T731" s="7">
        <v>0</v>
      </c>
      <c r="U731" s="7">
        <v>33</v>
      </c>
      <c r="V731" s="7" t="s">
        <v>3687</v>
      </c>
      <c r="W731" s="7">
        <v>0</v>
      </c>
      <c r="X731" s="7">
        <v>33</v>
      </c>
      <c r="Y731" s="7">
        <v>17</v>
      </c>
      <c r="Z731" s="7">
        <v>3</v>
      </c>
      <c r="AA731" s="7">
        <v>1</v>
      </c>
      <c r="AB731" s="7">
        <v>1</v>
      </c>
      <c r="AC731" s="7" t="s">
        <v>0</v>
      </c>
      <c r="AD731" s="7">
        <v>2</v>
      </c>
      <c r="AE731" s="7" t="s">
        <v>60</v>
      </c>
    </row>
    <row r="732" spans="1:31" ht="51" x14ac:dyDescent="0.2">
      <c r="A732" s="8" t="str">
        <f>HYPERLINK("http://www.patentics.cn/invokexml.do?sx=showpatent_cn&amp;sf=ShowPatent&amp;spn=US9123115&amp;sx=showpatent_cn&amp;sv=71da3113f6d9f5b628a0ac2109a1fbc5","US9123115")</f>
        <v>US9123115</v>
      </c>
      <c r="B732" s="9" t="s">
        <v>3688</v>
      </c>
      <c r="C732" s="9" t="s">
        <v>3689</v>
      </c>
      <c r="D732" s="9" t="s">
        <v>117</v>
      </c>
      <c r="E732" s="9" t="s">
        <v>49</v>
      </c>
      <c r="F732" s="9" t="s">
        <v>3690</v>
      </c>
      <c r="G732" s="9" t="s">
        <v>3691</v>
      </c>
      <c r="H732" s="9" t="s">
        <v>3414</v>
      </c>
      <c r="I732" s="9" t="s">
        <v>3414</v>
      </c>
      <c r="J732" s="9" t="s">
        <v>1116</v>
      </c>
      <c r="K732" s="9" t="s">
        <v>714</v>
      </c>
      <c r="L732" s="9" t="s">
        <v>3448</v>
      </c>
      <c r="M732" s="9">
        <v>47</v>
      </c>
      <c r="N732" s="9">
        <v>18</v>
      </c>
      <c r="O732" s="9" t="s">
        <v>57</v>
      </c>
      <c r="P732" s="9" t="s">
        <v>58</v>
      </c>
      <c r="Q732" s="9">
        <v>39</v>
      </c>
      <c r="R732" s="9">
        <v>1</v>
      </c>
      <c r="S732" s="9">
        <v>38</v>
      </c>
      <c r="T732" s="9">
        <v>24</v>
      </c>
      <c r="U732" s="9">
        <v>0</v>
      </c>
      <c r="V732" s="9" t="s">
        <v>114</v>
      </c>
      <c r="W732" s="9">
        <v>0</v>
      </c>
      <c r="X732" s="9">
        <v>0</v>
      </c>
      <c r="Y732" s="9">
        <v>0</v>
      </c>
      <c r="Z732" s="9">
        <v>0</v>
      </c>
      <c r="AA732" s="9">
        <v>11</v>
      </c>
      <c r="AB732" s="9">
        <v>6</v>
      </c>
      <c r="AC732" s="9">
        <v>14</v>
      </c>
      <c r="AD732" s="9" t="s">
        <v>0</v>
      </c>
      <c r="AE732" s="9" t="s">
        <v>60</v>
      </c>
    </row>
    <row r="733" spans="1:31" ht="51" x14ac:dyDescent="0.2">
      <c r="A733" s="8" t="str">
        <f>HYPERLINK("http://www.patentics.cn/invokexml.do?sx=showpatent_cn&amp;sf=ShowPatent&amp;spn=US9171372&amp;sx=showpatent_cn&amp;sv=2819c6c9ab45fc491048f8b8463a4671","US9171372")</f>
        <v>US9171372</v>
      </c>
      <c r="B733" s="9" t="s">
        <v>3692</v>
      </c>
      <c r="C733" s="9" t="s">
        <v>3693</v>
      </c>
      <c r="D733" s="9" t="s">
        <v>48</v>
      </c>
      <c r="E733" s="9" t="s">
        <v>49</v>
      </c>
      <c r="F733" s="9" t="s">
        <v>3690</v>
      </c>
      <c r="G733" s="9" t="s">
        <v>3691</v>
      </c>
      <c r="H733" s="9" t="s">
        <v>3414</v>
      </c>
      <c r="I733" s="9" t="s">
        <v>3694</v>
      </c>
      <c r="J733" s="9" t="s">
        <v>223</v>
      </c>
      <c r="K733" s="9" t="s">
        <v>714</v>
      </c>
      <c r="L733" s="9" t="s">
        <v>828</v>
      </c>
      <c r="M733" s="9">
        <v>28</v>
      </c>
      <c r="N733" s="9">
        <v>16</v>
      </c>
      <c r="O733" s="9" t="s">
        <v>57</v>
      </c>
      <c r="P733" s="9" t="s">
        <v>58</v>
      </c>
      <c r="Q733" s="9">
        <v>38</v>
      </c>
      <c r="R733" s="9">
        <v>1</v>
      </c>
      <c r="S733" s="9">
        <v>37</v>
      </c>
      <c r="T733" s="9">
        <v>23</v>
      </c>
      <c r="U733" s="9">
        <v>1</v>
      </c>
      <c r="V733" s="9" t="s">
        <v>142</v>
      </c>
      <c r="W733" s="9">
        <v>0</v>
      </c>
      <c r="X733" s="9">
        <v>1</v>
      </c>
      <c r="Y733" s="9">
        <v>1</v>
      </c>
      <c r="Z733" s="9">
        <v>1</v>
      </c>
      <c r="AA733" s="9">
        <v>11</v>
      </c>
      <c r="AB733" s="9">
        <v>6</v>
      </c>
      <c r="AC733" s="9">
        <v>14</v>
      </c>
      <c r="AD733" s="9" t="s">
        <v>0</v>
      </c>
      <c r="AE733" s="9" t="s">
        <v>60</v>
      </c>
    </row>
    <row r="734" spans="1:31" ht="38.25" x14ac:dyDescent="0.2">
      <c r="A734" s="6" t="str">
        <f>HYPERLINK("http://www.patentics.cn/invokexml.do?sx=showpatent_cn&amp;sf=ShowPatent&amp;spn=CN201383157&amp;sx=showpatent_cn&amp;sv=bfa7d641f3047f9c438459837014c628","CN201383157")</f>
        <v>CN201383157</v>
      </c>
      <c r="B734" s="7" t="s">
        <v>3695</v>
      </c>
      <c r="C734" s="7" t="s">
        <v>3696</v>
      </c>
      <c r="D734" s="7" t="s">
        <v>3697</v>
      </c>
      <c r="E734" s="7" t="s">
        <v>3697</v>
      </c>
      <c r="F734" s="7" t="s">
        <v>3698</v>
      </c>
      <c r="G734" s="7" t="s">
        <v>3699</v>
      </c>
      <c r="H734" s="7" t="s">
        <v>0</v>
      </c>
      <c r="I734" s="7" t="s">
        <v>3700</v>
      </c>
      <c r="J734" s="7" t="s">
        <v>3701</v>
      </c>
      <c r="K734" s="7" t="s">
        <v>529</v>
      </c>
      <c r="L734" s="7" t="s">
        <v>1432</v>
      </c>
      <c r="M734" s="7">
        <v>5</v>
      </c>
      <c r="N734" s="7">
        <v>27</v>
      </c>
      <c r="O734" s="7" t="s">
        <v>2185</v>
      </c>
      <c r="P734" s="7" t="s">
        <v>43</v>
      </c>
      <c r="Q734" s="7">
        <v>0</v>
      </c>
      <c r="R734" s="7">
        <v>0</v>
      </c>
      <c r="S734" s="7">
        <v>0</v>
      </c>
      <c r="T734" s="7">
        <v>0</v>
      </c>
      <c r="U734" s="7">
        <v>10</v>
      </c>
      <c r="V734" s="7" t="s">
        <v>3702</v>
      </c>
      <c r="W734" s="7">
        <v>0</v>
      </c>
      <c r="X734" s="7">
        <v>10</v>
      </c>
      <c r="Y734" s="7">
        <v>7</v>
      </c>
      <c r="Z734" s="7">
        <v>2</v>
      </c>
      <c r="AA734" s="7">
        <v>0</v>
      </c>
      <c r="AB734" s="7">
        <v>0</v>
      </c>
      <c r="AC734" s="7" t="s">
        <v>0</v>
      </c>
      <c r="AD734" s="7">
        <v>2</v>
      </c>
      <c r="AE734" s="7" t="s">
        <v>532</v>
      </c>
    </row>
    <row r="735" spans="1:31" ht="114.75" x14ac:dyDescent="0.2">
      <c r="A735" s="8" t="str">
        <f>HYPERLINK("http://www.patentics.cn/invokexml.do?sx=showpatent_cn&amp;sf=ShowPatent&amp;spn=US9071679&amp;sx=showpatent_cn&amp;sv=abd430e75ebfad46d57cb424548f97e0","US9071679")</f>
        <v>US9071679</v>
      </c>
      <c r="B735" s="9" t="s">
        <v>3703</v>
      </c>
      <c r="C735" s="9" t="s">
        <v>3704</v>
      </c>
      <c r="D735" s="9" t="s">
        <v>117</v>
      </c>
      <c r="E735" s="9" t="s">
        <v>49</v>
      </c>
      <c r="F735" s="9" t="s">
        <v>3705</v>
      </c>
      <c r="G735" s="9" t="s">
        <v>3706</v>
      </c>
      <c r="H735" s="9" t="s">
        <v>3707</v>
      </c>
      <c r="I735" s="9" t="s">
        <v>3708</v>
      </c>
      <c r="J735" s="9" t="s">
        <v>913</v>
      </c>
      <c r="K735" s="9" t="s">
        <v>229</v>
      </c>
      <c r="L735" s="9" t="s">
        <v>3709</v>
      </c>
      <c r="M735" s="9">
        <v>30</v>
      </c>
      <c r="N735" s="9">
        <v>8</v>
      </c>
      <c r="O735" s="9" t="s">
        <v>57</v>
      </c>
      <c r="P735" s="9" t="s">
        <v>58</v>
      </c>
      <c r="Q735" s="9">
        <v>51</v>
      </c>
      <c r="R735" s="9">
        <v>2</v>
      </c>
      <c r="S735" s="9">
        <v>49</v>
      </c>
      <c r="T735" s="9">
        <v>28</v>
      </c>
      <c r="U735" s="9">
        <v>0</v>
      </c>
      <c r="V735" s="9" t="s">
        <v>114</v>
      </c>
      <c r="W735" s="9">
        <v>0</v>
      </c>
      <c r="X735" s="9">
        <v>0</v>
      </c>
      <c r="Y735" s="9">
        <v>0</v>
      </c>
      <c r="Z735" s="9">
        <v>0</v>
      </c>
      <c r="AA735" s="9">
        <v>10</v>
      </c>
      <c r="AB735" s="9">
        <v>6</v>
      </c>
      <c r="AC735" s="9">
        <v>14</v>
      </c>
      <c r="AD735" s="9" t="s">
        <v>0</v>
      </c>
      <c r="AE735" s="9" t="s">
        <v>60</v>
      </c>
    </row>
    <row r="736" spans="1:31" ht="114.75" x14ac:dyDescent="0.2">
      <c r="A736" s="8" t="str">
        <f>HYPERLINK("http://www.patentics.cn/invokexml.do?sx=showpatent_cn&amp;sf=ShowPatent&amp;spn=US9357024&amp;sx=showpatent_cn&amp;sv=5807a8fa81e968369060cbfcb61a69fb","US9357024")</f>
        <v>US9357024</v>
      </c>
      <c r="B736" s="9" t="s">
        <v>3710</v>
      </c>
      <c r="C736" s="9" t="s">
        <v>3711</v>
      </c>
      <c r="D736" s="9" t="s">
        <v>48</v>
      </c>
      <c r="E736" s="9" t="s">
        <v>49</v>
      </c>
      <c r="F736" s="9" t="s">
        <v>3712</v>
      </c>
      <c r="G736" s="9" t="s">
        <v>3713</v>
      </c>
      <c r="H736" s="9" t="s">
        <v>2495</v>
      </c>
      <c r="I736" s="9" t="s">
        <v>2495</v>
      </c>
      <c r="J736" s="9" t="s">
        <v>1468</v>
      </c>
      <c r="K736" s="9" t="s">
        <v>885</v>
      </c>
      <c r="L736" s="9" t="s">
        <v>3714</v>
      </c>
      <c r="M736" s="9">
        <v>51</v>
      </c>
      <c r="N736" s="9">
        <v>19</v>
      </c>
      <c r="O736" s="9" t="s">
        <v>57</v>
      </c>
      <c r="P736" s="9" t="s">
        <v>58</v>
      </c>
      <c r="Q736" s="9">
        <v>55</v>
      </c>
      <c r="R736" s="9">
        <v>2</v>
      </c>
      <c r="S736" s="9">
        <v>53</v>
      </c>
      <c r="T736" s="9">
        <v>28</v>
      </c>
      <c r="U736" s="9">
        <v>0</v>
      </c>
      <c r="V736" s="9" t="s">
        <v>114</v>
      </c>
      <c r="W736" s="9">
        <v>0</v>
      </c>
      <c r="X736" s="9">
        <v>0</v>
      </c>
      <c r="Y736" s="9">
        <v>0</v>
      </c>
      <c r="Z736" s="9">
        <v>0</v>
      </c>
      <c r="AA736" s="9">
        <v>11</v>
      </c>
      <c r="AB736" s="9">
        <v>6</v>
      </c>
      <c r="AC736" s="9">
        <v>14</v>
      </c>
      <c r="AD736" s="9" t="s">
        <v>0</v>
      </c>
      <c r="AE736" s="9" t="s">
        <v>60</v>
      </c>
    </row>
    <row r="737" spans="1:31" ht="51" x14ac:dyDescent="0.2">
      <c r="A737" s="6" t="str">
        <f>HYPERLINK("http://www.patentics.cn/invokexml.do?sx=showpatent_cn&amp;sf=ShowPatent&amp;spn=CN101621706&amp;sx=showpatent_cn&amp;sv=96aff90ebefa5d9dec21d48fae03e412","CN101621706")</f>
        <v>CN101621706</v>
      </c>
      <c r="B737" s="7" t="s">
        <v>3715</v>
      </c>
      <c r="C737" s="7" t="s">
        <v>3716</v>
      </c>
      <c r="D737" s="7" t="s">
        <v>3717</v>
      </c>
      <c r="E737" s="7" t="s">
        <v>3717</v>
      </c>
      <c r="F737" s="7" t="s">
        <v>3718</v>
      </c>
      <c r="G737" s="7" t="s">
        <v>3719</v>
      </c>
      <c r="H737" s="7" t="s">
        <v>3720</v>
      </c>
      <c r="I737" s="7" t="s">
        <v>3720</v>
      </c>
      <c r="J737" s="7" t="s">
        <v>3721</v>
      </c>
      <c r="K737" s="7" t="s">
        <v>714</v>
      </c>
      <c r="L737" s="7" t="s">
        <v>3448</v>
      </c>
      <c r="M737" s="7">
        <v>3</v>
      </c>
      <c r="N737" s="7">
        <v>18</v>
      </c>
      <c r="O737" s="7" t="s">
        <v>42</v>
      </c>
      <c r="P737" s="7" t="s">
        <v>43</v>
      </c>
      <c r="Q737" s="7">
        <v>0</v>
      </c>
      <c r="R737" s="7">
        <v>0</v>
      </c>
      <c r="S737" s="7">
        <v>0</v>
      </c>
      <c r="T737" s="7">
        <v>0</v>
      </c>
      <c r="U737" s="7">
        <v>6</v>
      </c>
      <c r="V737" s="7" t="s">
        <v>3722</v>
      </c>
      <c r="W737" s="7">
        <v>4</v>
      </c>
      <c r="X737" s="7">
        <v>2</v>
      </c>
      <c r="Y737" s="7">
        <v>2</v>
      </c>
      <c r="Z737" s="7">
        <v>2</v>
      </c>
      <c r="AA737" s="7">
        <v>1</v>
      </c>
      <c r="AB737" s="7">
        <v>1</v>
      </c>
      <c r="AC737" s="7" t="s">
        <v>0</v>
      </c>
      <c r="AD737" s="7">
        <v>2</v>
      </c>
      <c r="AE737" s="7" t="s">
        <v>532</v>
      </c>
    </row>
    <row r="738" spans="1:31" ht="51" x14ac:dyDescent="0.2">
      <c r="A738" s="8" t="str">
        <f>HYPERLINK("http://www.patentics.cn/invokexml.do?sx=showpatent_cn&amp;sf=ShowPatent&amp;spn=US9509970&amp;sx=showpatent_cn&amp;sv=ef25bba92c43848d611c2d75241fb224","US9509970")</f>
        <v>US9509970</v>
      </c>
      <c r="B738" s="9" t="s">
        <v>3723</v>
      </c>
      <c r="C738" s="9" t="s">
        <v>3724</v>
      </c>
      <c r="D738" s="9" t="s">
        <v>48</v>
      </c>
      <c r="E738" s="9" t="s">
        <v>49</v>
      </c>
      <c r="F738" s="9" t="s">
        <v>3725</v>
      </c>
      <c r="G738" s="9" t="s">
        <v>3726</v>
      </c>
      <c r="H738" s="9" t="s">
        <v>3250</v>
      </c>
      <c r="I738" s="9" t="s">
        <v>3250</v>
      </c>
      <c r="J738" s="9" t="s">
        <v>2126</v>
      </c>
      <c r="K738" s="9" t="s">
        <v>714</v>
      </c>
      <c r="L738" s="9" t="s">
        <v>3448</v>
      </c>
      <c r="M738" s="9">
        <v>43</v>
      </c>
      <c r="N738" s="9">
        <v>12</v>
      </c>
      <c r="O738" s="9" t="s">
        <v>57</v>
      </c>
      <c r="P738" s="9" t="s">
        <v>58</v>
      </c>
      <c r="Q738" s="9">
        <v>42</v>
      </c>
      <c r="R738" s="9">
        <v>0</v>
      </c>
      <c r="S738" s="9">
        <v>42</v>
      </c>
      <c r="T738" s="9">
        <v>18</v>
      </c>
      <c r="U738" s="9">
        <v>0</v>
      </c>
      <c r="V738" s="9" t="s">
        <v>114</v>
      </c>
      <c r="W738" s="9">
        <v>0</v>
      </c>
      <c r="X738" s="9">
        <v>0</v>
      </c>
      <c r="Y738" s="9">
        <v>0</v>
      </c>
      <c r="Z738" s="9">
        <v>0</v>
      </c>
      <c r="AA738" s="9">
        <v>5</v>
      </c>
      <c r="AB738" s="9">
        <v>4</v>
      </c>
      <c r="AC738" s="9">
        <v>14</v>
      </c>
      <c r="AD738" s="9" t="s">
        <v>0</v>
      </c>
      <c r="AE738" s="9" t="s">
        <v>60</v>
      </c>
    </row>
    <row r="739" spans="1:31" ht="51" x14ac:dyDescent="0.2">
      <c r="A739" s="8" t="str">
        <f>HYPERLINK("http://www.patentics.cn/invokexml.do?sx=showpatent_cn&amp;sf=ShowPatent&amp;spn=CN104471930B&amp;sx=showpatent_cn&amp;sv=267fede915115c02e8f5cb6696305c4d","CN104471930B")</f>
        <v>CN104471930B</v>
      </c>
      <c r="B739" s="9" t="s">
        <v>3727</v>
      </c>
      <c r="C739" s="9" t="s">
        <v>3728</v>
      </c>
      <c r="D739" s="9" t="s">
        <v>301</v>
      </c>
      <c r="E739" s="9" t="s">
        <v>301</v>
      </c>
      <c r="F739" s="9" t="s">
        <v>3729</v>
      </c>
      <c r="G739" s="9" t="s">
        <v>3730</v>
      </c>
      <c r="H739" s="9" t="s">
        <v>3250</v>
      </c>
      <c r="I739" s="9" t="s">
        <v>3731</v>
      </c>
      <c r="J739" s="9" t="s">
        <v>3732</v>
      </c>
      <c r="K739" s="9" t="s">
        <v>714</v>
      </c>
      <c r="L739" s="9" t="s">
        <v>3448</v>
      </c>
      <c r="M739" s="9">
        <v>43</v>
      </c>
      <c r="N739" s="9">
        <v>12</v>
      </c>
      <c r="O739" s="9" t="s">
        <v>57</v>
      </c>
      <c r="P739" s="9" t="s">
        <v>58</v>
      </c>
      <c r="Q739" s="9">
        <v>5</v>
      </c>
      <c r="R739" s="9">
        <v>0</v>
      </c>
      <c r="S739" s="9">
        <v>5</v>
      </c>
      <c r="T739" s="9">
        <v>5</v>
      </c>
      <c r="U739" s="9">
        <v>0</v>
      </c>
      <c r="V739" s="9" t="s">
        <v>114</v>
      </c>
      <c r="W739" s="9">
        <v>0</v>
      </c>
      <c r="X739" s="9">
        <v>0</v>
      </c>
      <c r="Y739" s="9">
        <v>0</v>
      </c>
      <c r="Z739" s="9">
        <v>0</v>
      </c>
      <c r="AA739" s="9">
        <v>0</v>
      </c>
      <c r="AB739" s="9">
        <v>0</v>
      </c>
      <c r="AC739" s="9">
        <v>14</v>
      </c>
      <c r="AD739" s="9" t="s">
        <v>0</v>
      </c>
      <c r="AE739" s="9" t="s">
        <v>60</v>
      </c>
    </row>
    <row r="740" spans="1:31" ht="38.25" x14ac:dyDescent="0.2">
      <c r="A740" s="6" t="str">
        <f>HYPERLINK("http://www.patentics.cn/invokexml.do?sx=showpatent_cn&amp;sf=ShowPatent&amp;spn=CN101577062&amp;sx=showpatent_cn&amp;sv=85b258993c930462f49bb4586d37a9c1","CN101577062")</f>
        <v>CN101577062</v>
      </c>
      <c r="B740" s="7" t="s">
        <v>3733</v>
      </c>
      <c r="C740" s="7" t="s">
        <v>3734</v>
      </c>
      <c r="D740" s="7" t="s">
        <v>3735</v>
      </c>
      <c r="E740" s="7" t="s">
        <v>3735</v>
      </c>
      <c r="F740" s="7" t="s">
        <v>3736</v>
      </c>
      <c r="G740" s="7" t="s">
        <v>3737</v>
      </c>
      <c r="H740" s="7" t="s">
        <v>3738</v>
      </c>
      <c r="I740" s="7" t="s">
        <v>3738</v>
      </c>
      <c r="J740" s="7" t="s">
        <v>936</v>
      </c>
      <c r="K740" s="7" t="s">
        <v>3739</v>
      </c>
      <c r="L740" s="7" t="s">
        <v>3740</v>
      </c>
      <c r="M740" s="7">
        <v>7</v>
      </c>
      <c r="N740" s="7">
        <v>56</v>
      </c>
      <c r="O740" s="7" t="s">
        <v>42</v>
      </c>
      <c r="P740" s="7" t="s">
        <v>43</v>
      </c>
      <c r="Q740" s="7">
        <v>0</v>
      </c>
      <c r="R740" s="7">
        <v>0</v>
      </c>
      <c r="S740" s="7">
        <v>0</v>
      </c>
      <c r="T740" s="7">
        <v>0</v>
      </c>
      <c r="U740" s="7">
        <v>4</v>
      </c>
      <c r="V740" s="7" t="s">
        <v>3741</v>
      </c>
      <c r="W740" s="7">
        <v>1</v>
      </c>
      <c r="X740" s="7">
        <v>3</v>
      </c>
      <c r="Y740" s="7">
        <v>3</v>
      </c>
      <c r="Z740" s="7">
        <v>2</v>
      </c>
      <c r="AA740" s="7">
        <v>1</v>
      </c>
      <c r="AB740" s="7">
        <v>1</v>
      </c>
      <c r="AC740" s="7" t="s">
        <v>0</v>
      </c>
      <c r="AD740" s="7">
        <v>2</v>
      </c>
      <c r="AE740" s="7" t="s">
        <v>60</v>
      </c>
    </row>
    <row r="741" spans="1:31" ht="114.75" x14ac:dyDescent="0.2">
      <c r="A741" s="8" t="str">
        <f>HYPERLINK("http://www.patentics.cn/invokexml.do?sx=showpatent_cn&amp;sf=ShowPatent&amp;spn=US9436286&amp;sx=showpatent_cn&amp;sv=b7a404bff5ba1346a2f6487f28078898","US9436286")</f>
        <v>US9436286</v>
      </c>
      <c r="B741" s="9" t="s">
        <v>3742</v>
      </c>
      <c r="C741" s="9" t="s">
        <v>3743</v>
      </c>
      <c r="D741" s="9" t="s">
        <v>48</v>
      </c>
      <c r="E741" s="9" t="s">
        <v>49</v>
      </c>
      <c r="F741" s="9" t="s">
        <v>3744</v>
      </c>
      <c r="G741" s="9" t="s">
        <v>3745</v>
      </c>
      <c r="H741" s="9" t="s">
        <v>767</v>
      </c>
      <c r="I741" s="9" t="s">
        <v>3746</v>
      </c>
      <c r="J741" s="9" t="s">
        <v>827</v>
      </c>
      <c r="K741" s="9" t="s">
        <v>3747</v>
      </c>
      <c r="L741" s="9" t="s">
        <v>3748</v>
      </c>
      <c r="M741" s="9">
        <v>49</v>
      </c>
      <c r="N741" s="9">
        <v>14</v>
      </c>
      <c r="O741" s="9" t="s">
        <v>57</v>
      </c>
      <c r="P741" s="9" t="s">
        <v>58</v>
      </c>
      <c r="Q741" s="9">
        <v>14</v>
      </c>
      <c r="R741" s="9">
        <v>0</v>
      </c>
      <c r="S741" s="9">
        <v>14</v>
      </c>
      <c r="T741" s="9">
        <v>10</v>
      </c>
      <c r="U741" s="9">
        <v>0</v>
      </c>
      <c r="V741" s="9" t="s">
        <v>114</v>
      </c>
      <c r="W741" s="9">
        <v>0</v>
      </c>
      <c r="X741" s="9">
        <v>0</v>
      </c>
      <c r="Y741" s="9">
        <v>0</v>
      </c>
      <c r="Z741" s="9">
        <v>0</v>
      </c>
      <c r="AA741" s="9">
        <v>13</v>
      </c>
      <c r="AB741" s="9">
        <v>8</v>
      </c>
      <c r="AC741" s="9">
        <v>14</v>
      </c>
      <c r="AD741" s="9" t="s">
        <v>0</v>
      </c>
      <c r="AE741" s="9" t="s">
        <v>60</v>
      </c>
    </row>
    <row r="742" spans="1:31" ht="63.75" x14ac:dyDescent="0.2">
      <c r="A742" s="8" t="str">
        <f>HYPERLINK("http://www.patentics.cn/invokexml.do?sx=showpatent_cn&amp;sf=ShowPatent&amp;spn=CN103370672B&amp;sx=showpatent_cn&amp;sv=70cf6fbeb93eed9b7eef8e928cfefda1","CN103370672B")</f>
        <v>CN103370672B</v>
      </c>
      <c r="B742" s="9" t="s">
        <v>3749</v>
      </c>
      <c r="C742" s="9" t="s">
        <v>3750</v>
      </c>
      <c r="D742" s="9" t="s">
        <v>301</v>
      </c>
      <c r="E742" s="9" t="s">
        <v>301</v>
      </c>
      <c r="F742" s="9" t="s">
        <v>3751</v>
      </c>
      <c r="G742" s="9" t="s">
        <v>3752</v>
      </c>
      <c r="H742" s="9" t="s">
        <v>767</v>
      </c>
      <c r="I742" s="9" t="s">
        <v>3753</v>
      </c>
      <c r="J742" s="9" t="s">
        <v>1667</v>
      </c>
      <c r="K742" s="9" t="s">
        <v>885</v>
      </c>
      <c r="L742" s="9" t="s">
        <v>1300</v>
      </c>
      <c r="M742" s="9">
        <v>34</v>
      </c>
      <c r="N742" s="9">
        <v>11</v>
      </c>
      <c r="O742" s="9" t="s">
        <v>57</v>
      </c>
      <c r="P742" s="9" t="s">
        <v>58</v>
      </c>
      <c r="Q742" s="9">
        <v>5</v>
      </c>
      <c r="R742" s="9">
        <v>0</v>
      </c>
      <c r="S742" s="9">
        <v>5</v>
      </c>
      <c r="T742" s="9">
        <v>5</v>
      </c>
      <c r="U742" s="9">
        <v>0</v>
      </c>
      <c r="V742" s="9" t="s">
        <v>114</v>
      </c>
      <c r="W742" s="9">
        <v>0</v>
      </c>
      <c r="X742" s="9">
        <v>0</v>
      </c>
      <c r="Y742" s="9">
        <v>0</v>
      </c>
      <c r="Z742" s="9">
        <v>0</v>
      </c>
      <c r="AA742" s="9">
        <v>13</v>
      </c>
      <c r="AB742" s="9">
        <v>8</v>
      </c>
      <c r="AC742" s="9">
        <v>14</v>
      </c>
      <c r="AD742" s="9" t="s">
        <v>0</v>
      </c>
      <c r="AE742" s="9" t="s">
        <v>60</v>
      </c>
    </row>
    <row r="743" spans="1:31" ht="38.25" x14ac:dyDescent="0.2">
      <c r="A743" s="6" t="str">
        <f>HYPERLINK("http://www.patentics.cn/invokexml.do?sx=showpatent_cn&amp;sf=ShowPatent&amp;spn=CN101572093&amp;sx=showpatent_cn&amp;sv=a6f57ee3bf4ac21b387f950b96aa26a5","CN101572093")</f>
        <v>CN101572093</v>
      </c>
      <c r="B743" s="7" t="s">
        <v>3754</v>
      </c>
      <c r="C743" s="7" t="s">
        <v>3755</v>
      </c>
      <c r="D743" s="7" t="s">
        <v>1573</v>
      </c>
      <c r="E743" s="7" t="s">
        <v>1573</v>
      </c>
      <c r="F743" s="7" t="s">
        <v>3756</v>
      </c>
      <c r="G743" s="7" t="s">
        <v>1575</v>
      </c>
      <c r="H743" s="7" t="s">
        <v>2435</v>
      </c>
      <c r="I743" s="7" t="s">
        <v>2435</v>
      </c>
      <c r="J743" s="7" t="s">
        <v>3757</v>
      </c>
      <c r="K743" s="7" t="s">
        <v>1486</v>
      </c>
      <c r="L743" s="7" t="s">
        <v>1586</v>
      </c>
      <c r="M743" s="7">
        <v>21</v>
      </c>
      <c r="N743" s="7">
        <v>13</v>
      </c>
      <c r="O743" s="7" t="s">
        <v>42</v>
      </c>
      <c r="P743" s="7" t="s">
        <v>43</v>
      </c>
      <c r="Q743" s="7">
        <v>0</v>
      </c>
      <c r="R743" s="7">
        <v>0</v>
      </c>
      <c r="S743" s="7">
        <v>0</v>
      </c>
      <c r="T743" s="7">
        <v>0</v>
      </c>
      <c r="U743" s="7">
        <v>4</v>
      </c>
      <c r="V743" s="7" t="s">
        <v>1579</v>
      </c>
      <c r="W743" s="7">
        <v>0</v>
      </c>
      <c r="X743" s="7">
        <v>4</v>
      </c>
      <c r="Y743" s="7">
        <v>2</v>
      </c>
      <c r="Z743" s="7">
        <v>2</v>
      </c>
      <c r="AA743" s="7">
        <v>2</v>
      </c>
      <c r="AB743" s="7">
        <v>2</v>
      </c>
      <c r="AC743" s="7" t="s">
        <v>0</v>
      </c>
      <c r="AD743" s="7">
        <v>2</v>
      </c>
      <c r="AE743" s="7" t="s">
        <v>60</v>
      </c>
    </row>
    <row r="744" spans="1:31" ht="63.75" x14ac:dyDescent="0.2">
      <c r="A744" s="8" t="str">
        <f>HYPERLINK("http://www.patentics.cn/invokexml.do?sx=showpatent_cn&amp;sf=ShowPatent&amp;spn=US8862465&amp;sx=showpatent_cn&amp;sv=7949b7a879e9d23b1f52692eebc4c3f9","US8862465")</f>
        <v>US8862465</v>
      </c>
      <c r="B744" s="9" t="s">
        <v>3758</v>
      </c>
      <c r="C744" s="9" t="s">
        <v>3759</v>
      </c>
      <c r="D744" s="9" t="s">
        <v>48</v>
      </c>
      <c r="E744" s="9" t="s">
        <v>49</v>
      </c>
      <c r="F744" s="9" t="s">
        <v>3760</v>
      </c>
      <c r="G744" s="9" t="s">
        <v>3761</v>
      </c>
      <c r="H744" s="9" t="s">
        <v>3762</v>
      </c>
      <c r="I744" s="9" t="s">
        <v>3763</v>
      </c>
      <c r="J744" s="9" t="s">
        <v>3764</v>
      </c>
      <c r="K744" s="9" t="s">
        <v>1486</v>
      </c>
      <c r="L744" s="9" t="s">
        <v>1495</v>
      </c>
      <c r="M744" s="9">
        <v>42</v>
      </c>
      <c r="N744" s="9">
        <v>15</v>
      </c>
      <c r="O744" s="9" t="s">
        <v>57</v>
      </c>
      <c r="P744" s="9" t="s">
        <v>58</v>
      </c>
      <c r="Q744" s="9">
        <v>28</v>
      </c>
      <c r="R744" s="9">
        <v>3</v>
      </c>
      <c r="S744" s="9">
        <v>25</v>
      </c>
      <c r="T744" s="9">
        <v>18</v>
      </c>
      <c r="U744" s="9">
        <v>0</v>
      </c>
      <c r="V744" s="9" t="s">
        <v>114</v>
      </c>
      <c r="W744" s="9">
        <v>0</v>
      </c>
      <c r="X744" s="9">
        <v>0</v>
      </c>
      <c r="Y744" s="9">
        <v>0</v>
      </c>
      <c r="Z744" s="9">
        <v>0</v>
      </c>
      <c r="AA744" s="9">
        <v>9</v>
      </c>
      <c r="AB744" s="9">
        <v>6</v>
      </c>
      <c r="AC744" s="9">
        <v>14</v>
      </c>
      <c r="AD744" s="9" t="s">
        <v>0</v>
      </c>
      <c r="AE744" s="9" t="s">
        <v>60</v>
      </c>
    </row>
    <row r="745" spans="1:31" ht="63.75" x14ac:dyDescent="0.2">
      <c r="A745" s="8" t="str">
        <f>HYPERLINK("http://www.patentics.cn/invokexml.do?sx=showpatent_cn&amp;sf=ShowPatent&amp;spn=CN103109319&amp;sx=showpatent_cn&amp;sv=28e636156e6b691167e8fc537497e8be","CN103109319")</f>
        <v>CN103109319</v>
      </c>
      <c r="B745" s="9" t="s">
        <v>3765</v>
      </c>
      <c r="C745" s="9" t="s">
        <v>3766</v>
      </c>
      <c r="D745" s="9" t="s">
        <v>301</v>
      </c>
      <c r="E745" s="9" t="s">
        <v>301</v>
      </c>
      <c r="F745" s="9" t="s">
        <v>3767</v>
      </c>
      <c r="G745" s="9" t="s">
        <v>1602</v>
      </c>
      <c r="H745" s="9" t="s">
        <v>3762</v>
      </c>
      <c r="I745" s="9" t="s">
        <v>3768</v>
      </c>
      <c r="J745" s="9" t="s">
        <v>2852</v>
      </c>
      <c r="K745" s="9" t="s">
        <v>1486</v>
      </c>
      <c r="L745" s="9" t="s">
        <v>3769</v>
      </c>
      <c r="M745" s="9">
        <v>48</v>
      </c>
      <c r="N745" s="9">
        <v>19</v>
      </c>
      <c r="O745" s="9" t="s">
        <v>42</v>
      </c>
      <c r="P745" s="9" t="s">
        <v>58</v>
      </c>
      <c r="Q745" s="9">
        <v>3</v>
      </c>
      <c r="R745" s="9">
        <v>0</v>
      </c>
      <c r="S745" s="9">
        <v>3</v>
      </c>
      <c r="T745" s="9">
        <v>3</v>
      </c>
      <c r="U745" s="9">
        <v>1</v>
      </c>
      <c r="V745" s="9" t="s">
        <v>321</v>
      </c>
      <c r="W745" s="9">
        <v>1</v>
      </c>
      <c r="X745" s="9">
        <v>0</v>
      </c>
      <c r="Y745" s="9">
        <v>1</v>
      </c>
      <c r="Z745" s="9">
        <v>1</v>
      </c>
      <c r="AA745" s="9">
        <v>9</v>
      </c>
      <c r="AB745" s="9">
        <v>6</v>
      </c>
      <c r="AC745" s="9">
        <v>14</v>
      </c>
      <c r="AD745" s="9" t="s">
        <v>0</v>
      </c>
      <c r="AE745" s="9" t="s">
        <v>60</v>
      </c>
    </row>
    <row r="746" spans="1:31" ht="38.25" x14ac:dyDescent="0.2">
      <c r="A746" s="6" t="str">
        <f>HYPERLINK("http://www.patentics.cn/invokexml.do?sx=showpatent_cn&amp;sf=ShowPatent&amp;spn=CN101562863&amp;sx=showpatent_cn&amp;sv=f99336b53a6868cf9d3d3835559435be","CN101562863")</f>
        <v>CN101562863</v>
      </c>
      <c r="B746" s="7" t="s">
        <v>3770</v>
      </c>
      <c r="C746" s="7" t="s">
        <v>3771</v>
      </c>
      <c r="D746" s="7" t="s">
        <v>1097</v>
      </c>
      <c r="E746" s="7" t="s">
        <v>1097</v>
      </c>
      <c r="F746" s="7" t="s">
        <v>3772</v>
      </c>
      <c r="G746" s="7" t="s">
        <v>3773</v>
      </c>
      <c r="H746" s="7" t="s">
        <v>0</v>
      </c>
      <c r="I746" s="7" t="s">
        <v>1000</v>
      </c>
      <c r="J746" s="7" t="s">
        <v>3774</v>
      </c>
      <c r="K746" s="7" t="s">
        <v>55</v>
      </c>
      <c r="L746" s="7" t="s">
        <v>3775</v>
      </c>
      <c r="M746" s="7">
        <v>9</v>
      </c>
      <c r="N746" s="7">
        <v>20</v>
      </c>
      <c r="O746" s="7" t="s">
        <v>42</v>
      </c>
      <c r="P746" s="7" t="s">
        <v>43</v>
      </c>
      <c r="Q746" s="7">
        <v>0</v>
      </c>
      <c r="R746" s="7">
        <v>0</v>
      </c>
      <c r="S746" s="7">
        <v>0</v>
      </c>
      <c r="T746" s="7">
        <v>0</v>
      </c>
      <c r="U746" s="7">
        <v>6</v>
      </c>
      <c r="V746" s="7" t="s">
        <v>3776</v>
      </c>
      <c r="W746" s="7">
        <v>3</v>
      </c>
      <c r="X746" s="7">
        <v>3</v>
      </c>
      <c r="Y746" s="7">
        <v>3</v>
      </c>
      <c r="Z746" s="7">
        <v>3</v>
      </c>
      <c r="AA746" s="7">
        <v>0</v>
      </c>
      <c r="AB746" s="7">
        <v>0</v>
      </c>
      <c r="AC746" s="7" t="s">
        <v>0</v>
      </c>
      <c r="AD746" s="7">
        <v>2</v>
      </c>
      <c r="AE746" s="7" t="s">
        <v>45</v>
      </c>
    </row>
    <row r="747" spans="1:31" ht="63.75" x14ac:dyDescent="0.2">
      <c r="A747" s="8" t="str">
        <f>HYPERLINK("http://www.patentics.cn/invokexml.do?sx=showpatent_cn&amp;sf=ShowPatent&amp;spn=US8614956&amp;sx=showpatent_cn&amp;sv=52fbaf0b18dcf6ac9fbd6ac9a77b2689","US8614956")</f>
        <v>US8614956</v>
      </c>
      <c r="B747" s="9" t="s">
        <v>3777</v>
      </c>
      <c r="C747" s="9" t="s">
        <v>3778</v>
      </c>
      <c r="D747" s="9" t="s">
        <v>48</v>
      </c>
      <c r="E747" s="9" t="s">
        <v>49</v>
      </c>
      <c r="F747" s="9" t="s">
        <v>3779</v>
      </c>
      <c r="G747" s="9" t="s">
        <v>3780</v>
      </c>
      <c r="H747" s="9" t="s">
        <v>3781</v>
      </c>
      <c r="I747" s="9" t="s">
        <v>3781</v>
      </c>
      <c r="J747" s="9" t="s">
        <v>3782</v>
      </c>
      <c r="K747" s="9" t="s">
        <v>68</v>
      </c>
      <c r="L747" s="9" t="s">
        <v>446</v>
      </c>
      <c r="M747" s="9">
        <v>25</v>
      </c>
      <c r="N747" s="9">
        <v>15</v>
      </c>
      <c r="O747" s="9" t="s">
        <v>57</v>
      </c>
      <c r="P747" s="9" t="s">
        <v>58</v>
      </c>
      <c r="Q747" s="9">
        <v>27</v>
      </c>
      <c r="R747" s="9">
        <v>5</v>
      </c>
      <c r="S747" s="9">
        <v>22</v>
      </c>
      <c r="T747" s="9">
        <v>15</v>
      </c>
      <c r="U747" s="9">
        <v>1</v>
      </c>
      <c r="V747" s="9" t="s">
        <v>142</v>
      </c>
      <c r="W747" s="9">
        <v>1</v>
      </c>
      <c r="X747" s="9">
        <v>0</v>
      </c>
      <c r="Y747" s="9">
        <v>1</v>
      </c>
      <c r="Z747" s="9">
        <v>1</v>
      </c>
      <c r="AA747" s="9">
        <v>2</v>
      </c>
      <c r="AB747" s="9">
        <v>2</v>
      </c>
      <c r="AC747" s="9">
        <v>14</v>
      </c>
      <c r="AD747" s="9" t="s">
        <v>0</v>
      </c>
      <c r="AE747" s="9" t="s">
        <v>60</v>
      </c>
    </row>
    <row r="748" spans="1:31" ht="38.25" x14ac:dyDescent="0.2">
      <c r="A748" s="8" t="str">
        <f>HYPERLINK("http://www.patentics.cn/invokexml.do?sx=showpatent_cn&amp;sf=ShowPatent&amp;spn=WO2012145560&amp;sx=showpatent_cn&amp;sv=c9cce3f76f3f7c1aa7927317c58f59d5","WO2012145560")</f>
        <v>WO2012145560</v>
      </c>
      <c r="B748" s="9" t="s">
        <v>3783</v>
      </c>
      <c r="C748" s="9" t="s">
        <v>3784</v>
      </c>
      <c r="D748" s="9" t="s">
        <v>3785</v>
      </c>
      <c r="E748" s="9" t="s">
        <v>49</v>
      </c>
      <c r="F748" s="9" t="s">
        <v>3786</v>
      </c>
      <c r="G748" s="9" t="s">
        <v>3787</v>
      </c>
      <c r="H748" s="9" t="s">
        <v>3788</v>
      </c>
      <c r="I748" s="9" t="s">
        <v>3789</v>
      </c>
      <c r="J748" s="9" t="s">
        <v>2290</v>
      </c>
      <c r="K748" s="9" t="s">
        <v>68</v>
      </c>
      <c r="L748" s="9" t="s">
        <v>446</v>
      </c>
      <c r="M748" s="9">
        <v>18</v>
      </c>
      <c r="N748" s="9">
        <v>15</v>
      </c>
      <c r="O748" s="9" t="s">
        <v>850</v>
      </c>
      <c r="P748" s="9" t="s">
        <v>58</v>
      </c>
      <c r="Q748" s="9">
        <v>5</v>
      </c>
      <c r="R748" s="9">
        <v>0</v>
      </c>
      <c r="S748" s="9">
        <v>5</v>
      </c>
      <c r="T748" s="9">
        <v>4</v>
      </c>
      <c r="U748" s="9">
        <v>1</v>
      </c>
      <c r="V748" s="9" t="s">
        <v>70</v>
      </c>
      <c r="W748" s="9">
        <v>1</v>
      </c>
      <c r="X748" s="9">
        <v>0</v>
      </c>
      <c r="Y748" s="9">
        <v>1</v>
      </c>
      <c r="Z748" s="9">
        <v>1</v>
      </c>
      <c r="AA748" s="9">
        <v>1</v>
      </c>
      <c r="AB748" s="9">
        <v>2</v>
      </c>
      <c r="AC748" s="9">
        <v>14</v>
      </c>
      <c r="AD748" s="9" t="s">
        <v>0</v>
      </c>
      <c r="AE748" s="9" t="s">
        <v>0</v>
      </c>
    </row>
    <row r="749" spans="1:31" ht="51" x14ac:dyDescent="0.2">
      <c r="A749" s="6" t="str">
        <f>HYPERLINK("http://www.patentics.cn/invokexml.do?sx=showpatent_cn&amp;sf=ShowPatent&amp;spn=CN101515917&amp;sx=showpatent_cn&amp;sv=38ffd5b0db6b659ab52fcfd0a05ef561","CN101515917")</f>
        <v>CN101515917</v>
      </c>
      <c r="B749" s="7" t="s">
        <v>3790</v>
      </c>
      <c r="C749" s="7" t="s">
        <v>3791</v>
      </c>
      <c r="D749" s="7" t="s">
        <v>309</v>
      </c>
      <c r="E749" s="7" t="s">
        <v>309</v>
      </c>
      <c r="F749" s="7" t="s">
        <v>3792</v>
      </c>
      <c r="G749" s="7" t="s">
        <v>3793</v>
      </c>
      <c r="H749" s="7" t="s">
        <v>2225</v>
      </c>
      <c r="I749" s="7" t="s">
        <v>2225</v>
      </c>
      <c r="J749" s="7" t="s">
        <v>3794</v>
      </c>
      <c r="K749" s="7" t="s">
        <v>68</v>
      </c>
      <c r="L749" s="7" t="s">
        <v>281</v>
      </c>
      <c r="M749" s="7">
        <v>3</v>
      </c>
      <c r="N749" s="7">
        <v>29</v>
      </c>
      <c r="O749" s="7" t="s">
        <v>42</v>
      </c>
      <c r="P749" s="7" t="s">
        <v>43</v>
      </c>
      <c r="Q749" s="7">
        <v>0</v>
      </c>
      <c r="R749" s="7">
        <v>0</v>
      </c>
      <c r="S749" s="7">
        <v>0</v>
      </c>
      <c r="T749" s="7">
        <v>0</v>
      </c>
      <c r="U749" s="7">
        <v>21</v>
      </c>
      <c r="V749" s="7" t="s">
        <v>3795</v>
      </c>
      <c r="W749" s="7">
        <v>0</v>
      </c>
      <c r="X749" s="7">
        <v>21</v>
      </c>
      <c r="Y749" s="7">
        <v>9</v>
      </c>
      <c r="Z749" s="7">
        <v>3</v>
      </c>
      <c r="AA749" s="7">
        <v>1</v>
      </c>
      <c r="AB749" s="7">
        <v>1</v>
      </c>
      <c r="AC749" s="7" t="s">
        <v>0</v>
      </c>
      <c r="AD749" s="7">
        <v>2</v>
      </c>
      <c r="AE749" s="7" t="s">
        <v>532</v>
      </c>
    </row>
    <row r="750" spans="1:31" ht="76.5" x14ac:dyDescent="0.2">
      <c r="A750" s="8" t="str">
        <f>HYPERLINK("http://www.patentics.cn/invokexml.do?sx=showpatent_cn&amp;sf=ShowPatent&amp;spn=US9185711&amp;sx=showpatent_cn&amp;sv=42d4e83e25b49813a9deca02a8ad394f","US9185711")</f>
        <v>US9185711</v>
      </c>
      <c r="B750" s="9" t="s">
        <v>3796</v>
      </c>
      <c r="C750" s="9" t="s">
        <v>3797</v>
      </c>
      <c r="D750" s="9" t="s">
        <v>48</v>
      </c>
      <c r="E750" s="9" t="s">
        <v>49</v>
      </c>
      <c r="F750" s="9" t="s">
        <v>3798</v>
      </c>
      <c r="G750" s="9" t="s">
        <v>3799</v>
      </c>
      <c r="H750" s="9" t="s">
        <v>3800</v>
      </c>
      <c r="I750" s="9" t="s">
        <v>3768</v>
      </c>
      <c r="J750" s="9" t="s">
        <v>235</v>
      </c>
      <c r="K750" s="9" t="s">
        <v>89</v>
      </c>
      <c r="L750" s="9" t="s">
        <v>236</v>
      </c>
      <c r="M750" s="9">
        <v>86</v>
      </c>
      <c r="N750" s="9">
        <v>9</v>
      </c>
      <c r="O750" s="9" t="s">
        <v>57</v>
      </c>
      <c r="P750" s="9" t="s">
        <v>58</v>
      </c>
      <c r="Q750" s="9">
        <v>14</v>
      </c>
      <c r="R750" s="9">
        <v>1</v>
      </c>
      <c r="S750" s="9">
        <v>13</v>
      </c>
      <c r="T750" s="9">
        <v>11</v>
      </c>
      <c r="U750" s="9">
        <v>0</v>
      </c>
      <c r="V750" s="9" t="s">
        <v>114</v>
      </c>
      <c r="W750" s="9">
        <v>0</v>
      </c>
      <c r="X750" s="9">
        <v>0</v>
      </c>
      <c r="Y750" s="9">
        <v>0</v>
      </c>
      <c r="Z750" s="9">
        <v>0</v>
      </c>
      <c r="AA750" s="9">
        <v>8</v>
      </c>
      <c r="AB750" s="9">
        <v>6</v>
      </c>
      <c r="AC750" s="9">
        <v>14</v>
      </c>
      <c r="AD750" s="9" t="s">
        <v>0</v>
      </c>
      <c r="AE750" s="9" t="s">
        <v>60</v>
      </c>
    </row>
    <row r="751" spans="1:31" ht="38.25" x14ac:dyDescent="0.2">
      <c r="A751" s="8" t="str">
        <f>HYPERLINK("http://www.patentics.cn/invokexml.do?sx=showpatent_cn&amp;sf=ShowPatent&amp;spn=CN103120010B&amp;sx=showpatent_cn&amp;sv=17414777486baa0f3c8941e7ae0b60ef","CN103120010B")</f>
        <v>CN103120010B</v>
      </c>
      <c r="B751" s="9" t="s">
        <v>3801</v>
      </c>
      <c r="C751" s="9" t="s">
        <v>3802</v>
      </c>
      <c r="D751" s="9" t="s">
        <v>301</v>
      </c>
      <c r="E751" s="9" t="s">
        <v>301</v>
      </c>
      <c r="F751" s="9" t="s">
        <v>3803</v>
      </c>
      <c r="G751" s="9" t="s">
        <v>3804</v>
      </c>
      <c r="H751" s="9" t="s">
        <v>3800</v>
      </c>
      <c r="I751" s="9" t="s">
        <v>3805</v>
      </c>
      <c r="J751" s="9" t="s">
        <v>2284</v>
      </c>
      <c r="K751" s="9" t="s">
        <v>55</v>
      </c>
      <c r="L751" s="9" t="s">
        <v>272</v>
      </c>
      <c r="M751" s="9">
        <v>61</v>
      </c>
      <c r="N751" s="9">
        <v>20</v>
      </c>
      <c r="O751" s="9" t="s">
        <v>57</v>
      </c>
      <c r="P751" s="9" t="s">
        <v>58</v>
      </c>
      <c r="Q751" s="9">
        <v>4</v>
      </c>
      <c r="R751" s="9">
        <v>1</v>
      </c>
      <c r="S751" s="9">
        <v>3</v>
      </c>
      <c r="T751" s="9">
        <v>4</v>
      </c>
      <c r="U751" s="9">
        <v>0</v>
      </c>
      <c r="V751" s="9" t="s">
        <v>114</v>
      </c>
      <c r="W751" s="9">
        <v>0</v>
      </c>
      <c r="X751" s="9">
        <v>0</v>
      </c>
      <c r="Y751" s="9">
        <v>0</v>
      </c>
      <c r="Z751" s="9">
        <v>0</v>
      </c>
      <c r="AA751" s="9">
        <v>0</v>
      </c>
      <c r="AB751" s="9">
        <v>0</v>
      </c>
      <c r="AC751" s="9">
        <v>14</v>
      </c>
      <c r="AD751" s="9" t="s">
        <v>0</v>
      </c>
      <c r="AE751" s="9" t="s">
        <v>60</v>
      </c>
    </row>
    <row r="752" spans="1:31" ht="51" x14ac:dyDescent="0.2">
      <c r="A752" s="6" t="str">
        <f>HYPERLINK("http://www.patentics.cn/invokexml.do?sx=showpatent_cn&amp;sf=ShowPatent&amp;spn=CN101483788&amp;sx=showpatent_cn&amp;sv=86ff1140dc7c9f11612b53a04e7b9e06","CN101483788")</f>
        <v>CN101483788</v>
      </c>
      <c r="B752" s="7" t="s">
        <v>3806</v>
      </c>
      <c r="C752" s="7" t="s">
        <v>3807</v>
      </c>
      <c r="D752" s="7" t="s">
        <v>1383</v>
      </c>
      <c r="E752" s="7" t="s">
        <v>1383</v>
      </c>
      <c r="F752" s="7" t="s">
        <v>3808</v>
      </c>
      <c r="G752" s="7" t="s">
        <v>1730</v>
      </c>
      <c r="H752" s="7" t="s">
        <v>3809</v>
      </c>
      <c r="I752" s="7" t="s">
        <v>3809</v>
      </c>
      <c r="J752" s="7" t="s">
        <v>2420</v>
      </c>
      <c r="K752" s="7" t="s">
        <v>714</v>
      </c>
      <c r="L752" s="7" t="s">
        <v>3448</v>
      </c>
      <c r="M752" s="7">
        <v>10</v>
      </c>
      <c r="N752" s="7">
        <v>14</v>
      </c>
      <c r="O752" s="7" t="s">
        <v>42</v>
      </c>
      <c r="P752" s="7" t="s">
        <v>43</v>
      </c>
      <c r="Q752" s="7">
        <v>0</v>
      </c>
      <c r="R752" s="7">
        <v>0</v>
      </c>
      <c r="S752" s="7">
        <v>0</v>
      </c>
      <c r="T752" s="7">
        <v>0</v>
      </c>
      <c r="U752" s="7">
        <v>15</v>
      </c>
      <c r="V752" s="7" t="s">
        <v>3810</v>
      </c>
      <c r="W752" s="7">
        <v>8</v>
      </c>
      <c r="X752" s="7">
        <v>7</v>
      </c>
      <c r="Y752" s="7">
        <v>7</v>
      </c>
      <c r="Z752" s="7">
        <v>2</v>
      </c>
      <c r="AA752" s="7">
        <v>1</v>
      </c>
      <c r="AB752" s="7">
        <v>1</v>
      </c>
      <c r="AC752" s="7" t="s">
        <v>0</v>
      </c>
      <c r="AD752" s="7">
        <v>2</v>
      </c>
      <c r="AE752" s="7" t="s">
        <v>60</v>
      </c>
    </row>
    <row r="753" spans="1:31" ht="38.25" x14ac:dyDescent="0.2">
      <c r="A753" s="8" t="str">
        <f>HYPERLINK("http://www.patentics.cn/invokexml.do?sx=showpatent_cn&amp;sf=ShowPatent&amp;spn=CN102598674B&amp;sx=showpatent_cn&amp;sv=ecedfa2f27c4f48c645dc9d392c5e1f0","CN102598674B")</f>
        <v>CN102598674B</v>
      </c>
      <c r="B753" s="9" t="s">
        <v>3811</v>
      </c>
      <c r="C753" s="9" t="s">
        <v>3812</v>
      </c>
      <c r="D753" s="9" t="s">
        <v>301</v>
      </c>
      <c r="E753" s="9" t="s">
        <v>301</v>
      </c>
      <c r="F753" s="9" t="s">
        <v>3813</v>
      </c>
      <c r="G753" s="9" t="s">
        <v>3814</v>
      </c>
      <c r="H753" s="9" t="s">
        <v>690</v>
      </c>
      <c r="I753" s="9" t="s">
        <v>3815</v>
      </c>
      <c r="J753" s="9" t="s">
        <v>2919</v>
      </c>
      <c r="K753" s="9" t="s">
        <v>714</v>
      </c>
      <c r="L753" s="9" t="s">
        <v>3448</v>
      </c>
      <c r="M753" s="9">
        <v>25</v>
      </c>
      <c r="N753" s="9">
        <v>15</v>
      </c>
      <c r="O753" s="9" t="s">
        <v>57</v>
      </c>
      <c r="P753" s="9" t="s">
        <v>58</v>
      </c>
      <c r="Q753" s="9">
        <v>4</v>
      </c>
      <c r="R753" s="9">
        <v>1</v>
      </c>
      <c r="S753" s="9">
        <v>3</v>
      </c>
      <c r="T753" s="9">
        <v>3</v>
      </c>
      <c r="U753" s="9">
        <v>0</v>
      </c>
      <c r="V753" s="9" t="s">
        <v>114</v>
      </c>
      <c r="W753" s="9">
        <v>0</v>
      </c>
      <c r="X753" s="9">
        <v>0</v>
      </c>
      <c r="Y753" s="9">
        <v>0</v>
      </c>
      <c r="Z753" s="9">
        <v>0</v>
      </c>
      <c r="AA753" s="9">
        <v>11</v>
      </c>
      <c r="AB753" s="9">
        <v>7</v>
      </c>
      <c r="AC753" s="9">
        <v>14</v>
      </c>
      <c r="AD753" s="9" t="s">
        <v>0</v>
      </c>
      <c r="AE753" s="9" t="s">
        <v>60</v>
      </c>
    </row>
    <row r="754" spans="1:31" ht="38.25" x14ac:dyDescent="0.2">
      <c r="A754" s="8" t="str">
        <f>HYPERLINK("http://www.patentics.cn/invokexml.do?sx=showpatent_cn&amp;sf=ShowPatent&amp;spn=CN102598674&amp;sx=showpatent_cn&amp;sv=be6aaeec513cedd6c8ce58204a0219bf","CN102598674")</f>
        <v>CN102598674</v>
      </c>
      <c r="B754" s="9" t="s">
        <v>3811</v>
      </c>
      <c r="C754" s="9" t="s">
        <v>3812</v>
      </c>
      <c r="D754" s="9" t="s">
        <v>301</v>
      </c>
      <c r="E754" s="9" t="s">
        <v>301</v>
      </c>
      <c r="F754" s="9" t="s">
        <v>3813</v>
      </c>
      <c r="G754" s="9" t="s">
        <v>3814</v>
      </c>
      <c r="H754" s="9" t="s">
        <v>690</v>
      </c>
      <c r="I754" s="9" t="s">
        <v>3815</v>
      </c>
      <c r="J754" s="9" t="s">
        <v>3250</v>
      </c>
      <c r="K754" s="9" t="s">
        <v>714</v>
      </c>
      <c r="L754" s="9" t="s">
        <v>3448</v>
      </c>
      <c r="M754" s="9">
        <v>33</v>
      </c>
      <c r="N754" s="9">
        <v>11</v>
      </c>
      <c r="O754" s="9" t="s">
        <v>42</v>
      </c>
      <c r="P754" s="9" t="s">
        <v>58</v>
      </c>
      <c r="Q754" s="9">
        <v>4</v>
      </c>
      <c r="R754" s="9">
        <v>1</v>
      </c>
      <c r="S754" s="9">
        <v>3</v>
      </c>
      <c r="T754" s="9">
        <v>3</v>
      </c>
      <c r="U754" s="9">
        <v>3</v>
      </c>
      <c r="V754" s="9" t="s">
        <v>137</v>
      </c>
      <c r="W754" s="9">
        <v>0</v>
      </c>
      <c r="X754" s="9">
        <v>3</v>
      </c>
      <c r="Y754" s="9">
        <v>2</v>
      </c>
      <c r="Z754" s="9">
        <v>2</v>
      </c>
      <c r="AA754" s="9">
        <v>11</v>
      </c>
      <c r="AB754" s="9">
        <v>7</v>
      </c>
      <c r="AC754" s="9">
        <v>14</v>
      </c>
      <c r="AD754" s="9" t="s">
        <v>0</v>
      </c>
      <c r="AE754" s="9" t="s">
        <v>60</v>
      </c>
    </row>
    <row r="755" spans="1:31" ht="38.25" x14ac:dyDescent="0.2">
      <c r="A755" s="6" t="str">
        <f>HYPERLINK("http://www.patentics.cn/invokexml.do?sx=showpatent_cn&amp;sf=ShowPatent&amp;spn=CN101465814&amp;sx=showpatent_cn&amp;sv=727e06255cb753394252e02e9d12aba5","CN101465814")</f>
        <v>CN101465814</v>
      </c>
      <c r="B755" s="7" t="s">
        <v>3816</v>
      </c>
      <c r="C755" s="7" t="s">
        <v>3817</v>
      </c>
      <c r="D755" s="7" t="s">
        <v>1383</v>
      </c>
      <c r="E755" s="7" t="s">
        <v>1383</v>
      </c>
      <c r="F755" s="7" t="s">
        <v>3818</v>
      </c>
      <c r="G755" s="7" t="s">
        <v>3819</v>
      </c>
      <c r="H755" s="7" t="s">
        <v>3820</v>
      </c>
      <c r="I755" s="7" t="s">
        <v>3820</v>
      </c>
      <c r="J755" s="7" t="s">
        <v>1357</v>
      </c>
      <c r="K755" s="7" t="s">
        <v>68</v>
      </c>
      <c r="L755" s="7" t="s">
        <v>1946</v>
      </c>
      <c r="M755" s="7">
        <v>1</v>
      </c>
      <c r="N755" s="7">
        <v>60</v>
      </c>
      <c r="O755" s="7" t="s">
        <v>42</v>
      </c>
      <c r="P755" s="7" t="s">
        <v>43</v>
      </c>
      <c r="Q755" s="7">
        <v>0</v>
      </c>
      <c r="R755" s="7">
        <v>0</v>
      </c>
      <c r="S755" s="7">
        <v>0</v>
      </c>
      <c r="T755" s="7">
        <v>0</v>
      </c>
      <c r="U755" s="7">
        <v>9</v>
      </c>
      <c r="V755" s="7" t="s">
        <v>3821</v>
      </c>
      <c r="W755" s="7">
        <v>0</v>
      </c>
      <c r="X755" s="7">
        <v>9</v>
      </c>
      <c r="Y755" s="7">
        <v>5</v>
      </c>
      <c r="Z755" s="7">
        <v>2</v>
      </c>
      <c r="AA755" s="7">
        <v>1</v>
      </c>
      <c r="AB755" s="7">
        <v>1</v>
      </c>
      <c r="AC755" s="7" t="s">
        <v>0</v>
      </c>
      <c r="AD755" s="7">
        <v>2</v>
      </c>
      <c r="AE755" s="7" t="s">
        <v>60</v>
      </c>
    </row>
    <row r="756" spans="1:31" ht="114.75" x14ac:dyDescent="0.2">
      <c r="A756" s="8" t="str">
        <f>HYPERLINK("http://www.patentics.cn/invokexml.do?sx=showpatent_cn&amp;sf=ShowPatent&amp;spn=US9337954&amp;sx=showpatent_cn&amp;sv=281fe688a6e71461343417c3ede9e8a3","US9337954")</f>
        <v>US9337954</v>
      </c>
      <c r="B756" s="9" t="s">
        <v>3822</v>
      </c>
      <c r="C756" s="9" t="s">
        <v>3823</v>
      </c>
      <c r="D756" s="9" t="s">
        <v>48</v>
      </c>
      <c r="E756" s="9" t="s">
        <v>49</v>
      </c>
      <c r="F756" s="9" t="s">
        <v>3824</v>
      </c>
      <c r="G756" s="9" t="s">
        <v>3825</v>
      </c>
      <c r="H756" s="9" t="s">
        <v>2540</v>
      </c>
      <c r="I756" s="9" t="s">
        <v>3826</v>
      </c>
      <c r="J756" s="9" t="s">
        <v>777</v>
      </c>
      <c r="K756" s="9" t="s">
        <v>89</v>
      </c>
      <c r="L756" s="9" t="s">
        <v>294</v>
      </c>
      <c r="M756" s="9">
        <v>94</v>
      </c>
      <c r="N756" s="9">
        <v>14</v>
      </c>
      <c r="O756" s="9" t="s">
        <v>57</v>
      </c>
      <c r="P756" s="9" t="s">
        <v>58</v>
      </c>
      <c r="Q756" s="9">
        <v>35</v>
      </c>
      <c r="R756" s="9">
        <v>11</v>
      </c>
      <c r="S756" s="9">
        <v>24</v>
      </c>
      <c r="T756" s="9">
        <v>14</v>
      </c>
      <c r="U756" s="9">
        <v>0</v>
      </c>
      <c r="V756" s="9" t="s">
        <v>114</v>
      </c>
      <c r="W756" s="9">
        <v>0</v>
      </c>
      <c r="X756" s="9">
        <v>0</v>
      </c>
      <c r="Y756" s="9">
        <v>0</v>
      </c>
      <c r="Z756" s="9">
        <v>0</v>
      </c>
      <c r="AA756" s="9">
        <v>15</v>
      </c>
      <c r="AB756" s="9">
        <v>10</v>
      </c>
      <c r="AC756" s="9">
        <v>14</v>
      </c>
      <c r="AD756" s="9" t="s">
        <v>0</v>
      </c>
      <c r="AE756" s="9" t="s">
        <v>60</v>
      </c>
    </row>
    <row r="757" spans="1:31" ht="63.75" x14ac:dyDescent="0.2">
      <c r="A757" s="8" t="str">
        <f>HYPERLINK("http://www.patentics.cn/invokexml.do?sx=showpatent_cn&amp;sf=ShowPatent&amp;spn=CN103039029B&amp;sx=showpatent_cn&amp;sv=5b5d81ce95a73e577c5973bab4fe7337","CN103039029B")</f>
        <v>CN103039029B</v>
      </c>
      <c r="B757" s="9" t="s">
        <v>3827</v>
      </c>
      <c r="C757" s="9" t="s">
        <v>3828</v>
      </c>
      <c r="D757" s="9" t="s">
        <v>301</v>
      </c>
      <c r="E757" s="9" t="s">
        <v>301</v>
      </c>
      <c r="F757" s="9" t="s">
        <v>3829</v>
      </c>
      <c r="G757" s="9" t="s">
        <v>3830</v>
      </c>
      <c r="H757" s="9" t="s">
        <v>2540</v>
      </c>
      <c r="I757" s="9" t="s">
        <v>3831</v>
      </c>
      <c r="J757" s="9" t="s">
        <v>3832</v>
      </c>
      <c r="K757" s="9" t="s">
        <v>68</v>
      </c>
      <c r="L757" s="9" t="s">
        <v>1668</v>
      </c>
      <c r="M757" s="9">
        <v>137</v>
      </c>
      <c r="N757" s="9">
        <v>13</v>
      </c>
      <c r="O757" s="9" t="s">
        <v>57</v>
      </c>
      <c r="P757" s="9" t="s">
        <v>58</v>
      </c>
      <c r="Q757" s="9">
        <v>4</v>
      </c>
      <c r="R757" s="9">
        <v>0</v>
      </c>
      <c r="S757" s="9">
        <v>4</v>
      </c>
      <c r="T757" s="9">
        <v>3</v>
      </c>
      <c r="U757" s="9">
        <v>0</v>
      </c>
      <c r="V757" s="9" t="s">
        <v>114</v>
      </c>
      <c r="W757" s="9">
        <v>0</v>
      </c>
      <c r="X757" s="9">
        <v>0</v>
      </c>
      <c r="Y757" s="9">
        <v>0</v>
      </c>
      <c r="Z757" s="9">
        <v>0</v>
      </c>
      <c r="AA757" s="9">
        <v>15</v>
      </c>
      <c r="AB757" s="9">
        <v>10</v>
      </c>
      <c r="AC757" s="9">
        <v>14</v>
      </c>
      <c r="AD757" s="9" t="s">
        <v>0</v>
      </c>
      <c r="AE757" s="9" t="s">
        <v>60</v>
      </c>
    </row>
    <row r="758" spans="1:31" ht="63.75" x14ac:dyDescent="0.2">
      <c r="A758" s="6" t="str">
        <f>HYPERLINK("http://www.patentics.cn/invokexml.do?sx=showpatent_cn&amp;sf=ShowPatent&amp;spn=CN101458930&amp;sx=showpatent_cn&amp;sv=6e0a4d2fec4857ac2cdb01b99b0443cf","CN101458930")</f>
        <v>CN101458930</v>
      </c>
      <c r="B758" s="7" t="s">
        <v>3833</v>
      </c>
      <c r="C758" s="7" t="s">
        <v>3834</v>
      </c>
      <c r="D758" s="7" t="s">
        <v>3835</v>
      </c>
      <c r="E758" s="7" t="s">
        <v>3835</v>
      </c>
      <c r="F758" s="7" t="s">
        <v>3836</v>
      </c>
      <c r="G758" s="7" t="s">
        <v>3837</v>
      </c>
      <c r="H758" s="7" t="s">
        <v>2553</v>
      </c>
      <c r="I758" s="7" t="s">
        <v>2553</v>
      </c>
      <c r="J758" s="7" t="s">
        <v>1271</v>
      </c>
      <c r="K758" s="7" t="s">
        <v>1486</v>
      </c>
      <c r="L758" s="7" t="s">
        <v>3838</v>
      </c>
      <c r="M758" s="7">
        <v>19</v>
      </c>
      <c r="N758" s="7">
        <v>6</v>
      </c>
      <c r="O758" s="7" t="s">
        <v>42</v>
      </c>
      <c r="P758" s="7" t="s">
        <v>43</v>
      </c>
      <c r="Q758" s="7">
        <v>0</v>
      </c>
      <c r="R758" s="7">
        <v>0</v>
      </c>
      <c r="S758" s="7">
        <v>0</v>
      </c>
      <c r="T758" s="7">
        <v>0</v>
      </c>
      <c r="U758" s="7">
        <v>12</v>
      </c>
      <c r="V758" s="7" t="s">
        <v>3839</v>
      </c>
      <c r="W758" s="7">
        <v>1</v>
      </c>
      <c r="X758" s="7">
        <v>11</v>
      </c>
      <c r="Y758" s="7">
        <v>6</v>
      </c>
      <c r="Z758" s="7">
        <v>3</v>
      </c>
      <c r="AA758" s="7">
        <v>2</v>
      </c>
      <c r="AB758" s="7">
        <v>2</v>
      </c>
      <c r="AC758" s="7" t="s">
        <v>0</v>
      </c>
      <c r="AD758" s="7">
        <v>2</v>
      </c>
      <c r="AE758" s="7" t="s">
        <v>60</v>
      </c>
    </row>
    <row r="759" spans="1:31" ht="25.5" x14ac:dyDescent="0.2">
      <c r="A759" s="8" t="str">
        <f>HYPERLINK("http://www.patentics.cn/invokexml.do?sx=showpatent_cn&amp;sf=ShowPatent&amp;spn=CN102934163B&amp;sx=showpatent_cn&amp;sv=835106536a012f009ca92d2e807b43c3","CN102934163B")</f>
        <v>CN102934163B</v>
      </c>
      <c r="B759" s="9" t="s">
        <v>3840</v>
      </c>
      <c r="C759" s="9" t="s">
        <v>3841</v>
      </c>
      <c r="D759" s="9" t="s">
        <v>301</v>
      </c>
      <c r="E759" s="9" t="s">
        <v>301</v>
      </c>
      <c r="F759" s="9" t="s">
        <v>3842</v>
      </c>
      <c r="G759" s="9" t="s">
        <v>3843</v>
      </c>
      <c r="H759" s="9" t="s">
        <v>80</v>
      </c>
      <c r="I759" s="9" t="s">
        <v>3844</v>
      </c>
      <c r="J759" s="9" t="s">
        <v>3845</v>
      </c>
      <c r="K759" s="9" t="s">
        <v>1486</v>
      </c>
      <c r="L759" s="9" t="s">
        <v>3846</v>
      </c>
      <c r="M759" s="9">
        <v>60</v>
      </c>
      <c r="N759" s="9">
        <v>27</v>
      </c>
      <c r="O759" s="9" t="s">
        <v>57</v>
      </c>
      <c r="P759" s="9" t="s">
        <v>58</v>
      </c>
      <c r="Q759" s="9">
        <v>4</v>
      </c>
      <c r="R759" s="9">
        <v>0</v>
      </c>
      <c r="S759" s="9">
        <v>4</v>
      </c>
      <c r="T759" s="9">
        <v>2</v>
      </c>
      <c r="U759" s="9">
        <v>0</v>
      </c>
      <c r="V759" s="9" t="s">
        <v>114</v>
      </c>
      <c r="W759" s="9">
        <v>0</v>
      </c>
      <c r="X759" s="9">
        <v>0</v>
      </c>
      <c r="Y759" s="9">
        <v>0</v>
      </c>
      <c r="Z759" s="9">
        <v>0</v>
      </c>
      <c r="AA759" s="9">
        <v>10</v>
      </c>
      <c r="AB759" s="9">
        <v>7</v>
      </c>
      <c r="AC759" s="9">
        <v>14</v>
      </c>
      <c r="AD759" s="9" t="s">
        <v>0</v>
      </c>
      <c r="AE759" s="9" t="s">
        <v>60</v>
      </c>
    </row>
    <row r="760" spans="1:31" ht="25.5" x14ac:dyDescent="0.2">
      <c r="A760" s="8" t="str">
        <f>HYPERLINK("http://www.patentics.cn/invokexml.do?sx=showpatent_cn&amp;sf=ShowPatent&amp;spn=CN102934163&amp;sx=showpatent_cn&amp;sv=a2bb01a869769d38c5a8901cf0427fe5","CN102934163")</f>
        <v>CN102934163</v>
      </c>
      <c r="B760" s="9" t="s">
        <v>3840</v>
      </c>
      <c r="C760" s="9" t="s">
        <v>3847</v>
      </c>
      <c r="D760" s="9" t="s">
        <v>301</v>
      </c>
      <c r="E760" s="9" t="s">
        <v>301</v>
      </c>
      <c r="F760" s="9" t="s">
        <v>3842</v>
      </c>
      <c r="G760" s="9" t="s">
        <v>3843</v>
      </c>
      <c r="H760" s="9" t="s">
        <v>80</v>
      </c>
      <c r="I760" s="9" t="s">
        <v>3844</v>
      </c>
      <c r="J760" s="9" t="s">
        <v>703</v>
      </c>
      <c r="K760" s="9" t="s">
        <v>1486</v>
      </c>
      <c r="L760" s="9" t="s">
        <v>3846</v>
      </c>
      <c r="M760" s="9">
        <v>49</v>
      </c>
      <c r="N760" s="9">
        <v>20</v>
      </c>
      <c r="O760" s="9" t="s">
        <v>42</v>
      </c>
      <c r="P760" s="9" t="s">
        <v>58</v>
      </c>
      <c r="Q760" s="9">
        <v>4</v>
      </c>
      <c r="R760" s="9">
        <v>0</v>
      </c>
      <c r="S760" s="9">
        <v>4</v>
      </c>
      <c r="T760" s="9">
        <v>2</v>
      </c>
      <c r="U760" s="9">
        <v>0</v>
      </c>
      <c r="V760" s="9" t="s">
        <v>114</v>
      </c>
      <c r="W760" s="9">
        <v>0</v>
      </c>
      <c r="X760" s="9">
        <v>0</v>
      </c>
      <c r="Y760" s="9">
        <v>0</v>
      </c>
      <c r="Z760" s="9">
        <v>0</v>
      </c>
      <c r="AA760" s="9">
        <v>10</v>
      </c>
      <c r="AB760" s="9">
        <v>7</v>
      </c>
      <c r="AC760" s="9">
        <v>14</v>
      </c>
      <c r="AD760" s="9" t="s">
        <v>0</v>
      </c>
      <c r="AE760" s="9" t="s">
        <v>60</v>
      </c>
    </row>
    <row r="761" spans="1:31" ht="38.25" x14ac:dyDescent="0.2">
      <c r="A761" s="6" t="str">
        <f>HYPERLINK("http://www.patentics.cn/invokexml.do?sx=showpatent_cn&amp;sf=ShowPatent&amp;spn=CN101400135&amp;sx=showpatent_cn&amp;sv=5a8d56510f1d617a616370bb8f008164","CN101400135")</f>
        <v>CN101400135</v>
      </c>
      <c r="B761" s="7" t="s">
        <v>3848</v>
      </c>
      <c r="C761" s="7" t="s">
        <v>3849</v>
      </c>
      <c r="D761" s="7" t="s">
        <v>1097</v>
      </c>
      <c r="E761" s="7" t="s">
        <v>1097</v>
      </c>
      <c r="F761" s="7" t="s">
        <v>3850</v>
      </c>
      <c r="G761" s="7" t="s">
        <v>3851</v>
      </c>
      <c r="H761" s="7" t="s">
        <v>1521</v>
      </c>
      <c r="I761" s="7" t="s">
        <v>1521</v>
      </c>
      <c r="J761" s="7" t="s">
        <v>1810</v>
      </c>
      <c r="K761" s="7" t="s">
        <v>55</v>
      </c>
      <c r="L761" s="7" t="s">
        <v>272</v>
      </c>
      <c r="M761" s="7">
        <v>8</v>
      </c>
      <c r="N761" s="7">
        <v>26</v>
      </c>
      <c r="O761" s="7" t="s">
        <v>42</v>
      </c>
      <c r="P761" s="7" t="s">
        <v>43</v>
      </c>
      <c r="Q761" s="7">
        <v>0</v>
      </c>
      <c r="R761" s="7">
        <v>0</v>
      </c>
      <c r="S761" s="7">
        <v>0</v>
      </c>
      <c r="T761" s="7">
        <v>0</v>
      </c>
      <c r="U761" s="7">
        <v>26</v>
      </c>
      <c r="V761" s="7" t="s">
        <v>3852</v>
      </c>
      <c r="W761" s="7">
        <v>0</v>
      </c>
      <c r="X761" s="7">
        <v>26</v>
      </c>
      <c r="Y761" s="7">
        <v>9</v>
      </c>
      <c r="Z761" s="7">
        <v>4</v>
      </c>
      <c r="AA761" s="7">
        <v>1</v>
      </c>
      <c r="AB761" s="7">
        <v>1</v>
      </c>
      <c r="AC761" s="7" t="s">
        <v>0</v>
      </c>
      <c r="AD761" s="7">
        <v>2</v>
      </c>
      <c r="AE761" s="7" t="s">
        <v>532</v>
      </c>
    </row>
    <row r="762" spans="1:31" ht="25.5" x14ac:dyDescent="0.2">
      <c r="A762" s="8" t="str">
        <f>HYPERLINK("http://www.patentics.cn/invokexml.do?sx=showpatent_cn&amp;sf=ShowPatent&amp;spn=CN102823165B&amp;sx=showpatent_cn&amp;sv=ba4e0cfcd950c7d31e0d31f0d74c6eb7","CN102823165B")</f>
        <v>CN102823165B</v>
      </c>
      <c r="B762" s="9" t="s">
        <v>3853</v>
      </c>
      <c r="C762" s="9" t="s">
        <v>3854</v>
      </c>
      <c r="D762" s="9" t="s">
        <v>301</v>
      </c>
      <c r="E762" s="9" t="s">
        <v>301</v>
      </c>
      <c r="F762" s="9" t="s">
        <v>3855</v>
      </c>
      <c r="G762" s="9" t="s">
        <v>2544</v>
      </c>
      <c r="H762" s="9" t="s">
        <v>3856</v>
      </c>
      <c r="I762" s="9" t="s">
        <v>3857</v>
      </c>
      <c r="J762" s="9" t="s">
        <v>330</v>
      </c>
      <c r="K762" s="9" t="s">
        <v>40</v>
      </c>
      <c r="L762" s="9" t="s">
        <v>41</v>
      </c>
      <c r="M762" s="9">
        <v>15</v>
      </c>
      <c r="N762" s="9">
        <v>15</v>
      </c>
      <c r="O762" s="9" t="s">
        <v>57</v>
      </c>
      <c r="P762" s="9" t="s">
        <v>58</v>
      </c>
      <c r="Q762" s="9">
        <v>8</v>
      </c>
      <c r="R762" s="9">
        <v>3</v>
      </c>
      <c r="S762" s="9">
        <v>5</v>
      </c>
      <c r="T762" s="9">
        <v>6</v>
      </c>
      <c r="U762" s="9">
        <v>0</v>
      </c>
      <c r="V762" s="9" t="s">
        <v>114</v>
      </c>
      <c r="W762" s="9">
        <v>0</v>
      </c>
      <c r="X762" s="9">
        <v>0</v>
      </c>
      <c r="Y762" s="9">
        <v>0</v>
      </c>
      <c r="Z762" s="9">
        <v>0</v>
      </c>
      <c r="AA762" s="9">
        <v>0</v>
      </c>
      <c r="AB762" s="9">
        <v>0</v>
      </c>
      <c r="AC762" s="9">
        <v>14</v>
      </c>
      <c r="AD762" s="9" t="s">
        <v>0</v>
      </c>
      <c r="AE762" s="9" t="s">
        <v>60</v>
      </c>
    </row>
    <row r="763" spans="1:31" ht="25.5" x14ac:dyDescent="0.2">
      <c r="A763" s="8" t="str">
        <f>HYPERLINK("http://www.patentics.cn/invokexml.do?sx=showpatent_cn&amp;sf=ShowPatent&amp;spn=CN102823165&amp;sx=showpatent_cn&amp;sv=23882404fe93f92983726217034c00ee","CN102823165")</f>
        <v>CN102823165</v>
      </c>
      <c r="B763" s="9" t="s">
        <v>3853</v>
      </c>
      <c r="C763" s="9" t="s">
        <v>3854</v>
      </c>
      <c r="D763" s="9" t="s">
        <v>301</v>
      </c>
      <c r="E763" s="9" t="s">
        <v>301</v>
      </c>
      <c r="F763" s="9" t="s">
        <v>3855</v>
      </c>
      <c r="G763" s="9" t="s">
        <v>2544</v>
      </c>
      <c r="H763" s="9" t="s">
        <v>3856</v>
      </c>
      <c r="I763" s="9" t="s">
        <v>3857</v>
      </c>
      <c r="J763" s="9" t="s">
        <v>3858</v>
      </c>
      <c r="K763" s="9" t="s">
        <v>40</v>
      </c>
      <c r="L763" s="9" t="s">
        <v>41</v>
      </c>
      <c r="M763" s="9">
        <v>28</v>
      </c>
      <c r="N763" s="9">
        <v>15</v>
      </c>
      <c r="O763" s="9" t="s">
        <v>42</v>
      </c>
      <c r="P763" s="9" t="s">
        <v>58</v>
      </c>
      <c r="Q763" s="9">
        <v>8</v>
      </c>
      <c r="R763" s="9">
        <v>3</v>
      </c>
      <c r="S763" s="9">
        <v>5</v>
      </c>
      <c r="T763" s="9">
        <v>6</v>
      </c>
      <c r="U763" s="9">
        <v>0</v>
      </c>
      <c r="V763" s="9" t="s">
        <v>114</v>
      </c>
      <c r="W763" s="9">
        <v>0</v>
      </c>
      <c r="X763" s="9">
        <v>0</v>
      </c>
      <c r="Y763" s="9">
        <v>0</v>
      </c>
      <c r="Z763" s="9">
        <v>0</v>
      </c>
      <c r="AA763" s="9">
        <v>9</v>
      </c>
      <c r="AB763" s="9">
        <v>7</v>
      </c>
      <c r="AC763" s="9">
        <v>14</v>
      </c>
      <c r="AD763" s="9" t="s">
        <v>0</v>
      </c>
      <c r="AE763" s="9" t="s">
        <v>60</v>
      </c>
    </row>
    <row r="764" spans="1:31" ht="63.75" x14ac:dyDescent="0.2">
      <c r="A764" s="6" t="str">
        <f>HYPERLINK("http://www.patentics.cn/invokexml.do?sx=showpatent_cn&amp;sf=ShowPatent&amp;spn=CN101394245&amp;sx=showpatent_cn&amp;sv=dcf0d977ca7ada1e19b2ab28e38c8c46","CN101394245")</f>
        <v>CN101394245</v>
      </c>
      <c r="B764" s="7" t="s">
        <v>3859</v>
      </c>
      <c r="C764" s="7" t="s">
        <v>3860</v>
      </c>
      <c r="D764" s="7" t="s">
        <v>3861</v>
      </c>
      <c r="E764" s="7" t="s">
        <v>3861</v>
      </c>
      <c r="F764" s="7" t="s">
        <v>3862</v>
      </c>
      <c r="G764" s="7" t="s">
        <v>3863</v>
      </c>
      <c r="H764" s="7" t="s">
        <v>3864</v>
      </c>
      <c r="I764" s="7" t="s">
        <v>3864</v>
      </c>
      <c r="J764" s="7" t="s">
        <v>2225</v>
      </c>
      <c r="K764" s="7" t="s">
        <v>40</v>
      </c>
      <c r="L764" s="7" t="s">
        <v>1128</v>
      </c>
      <c r="M764" s="7">
        <v>4</v>
      </c>
      <c r="N764" s="7">
        <v>22</v>
      </c>
      <c r="O764" s="7" t="s">
        <v>42</v>
      </c>
      <c r="P764" s="7" t="s">
        <v>43</v>
      </c>
      <c r="Q764" s="7">
        <v>0</v>
      </c>
      <c r="R764" s="7">
        <v>0</v>
      </c>
      <c r="S764" s="7">
        <v>0</v>
      </c>
      <c r="T764" s="7">
        <v>0</v>
      </c>
      <c r="U764" s="7">
        <v>6</v>
      </c>
      <c r="V764" s="7" t="s">
        <v>3865</v>
      </c>
      <c r="W764" s="7">
        <v>0</v>
      </c>
      <c r="X764" s="7">
        <v>6</v>
      </c>
      <c r="Y764" s="7">
        <v>4</v>
      </c>
      <c r="Z764" s="7">
        <v>2</v>
      </c>
      <c r="AA764" s="7">
        <v>1</v>
      </c>
      <c r="AB764" s="7">
        <v>1</v>
      </c>
      <c r="AC764" s="7" t="s">
        <v>0</v>
      </c>
      <c r="AD764" s="7">
        <v>2</v>
      </c>
      <c r="AE764" s="7" t="s">
        <v>532</v>
      </c>
    </row>
    <row r="765" spans="1:31" ht="114.75" x14ac:dyDescent="0.2">
      <c r="A765" s="8" t="str">
        <f>HYPERLINK("http://www.patentics.cn/invokexml.do?sx=showpatent_cn&amp;sf=ShowPatent&amp;spn=CN102648652B&amp;sx=showpatent_cn&amp;sv=a50401fa91ba324237f906fbfe0e1412","CN102648652B")</f>
        <v>CN102648652B</v>
      </c>
      <c r="B765" s="9" t="s">
        <v>3866</v>
      </c>
      <c r="C765" s="9" t="s">
        <v>3867</v>
      </c>
      <c r="D765" s="9" t="s">
        <v>301</v>
      </c>
      <c r="E765" s="9" t="s">
        <v>301</v>
      </c>
      <c r="F765" s="9" t="s">
        <v>3868</v>
      </c>
      <c r="G765" s="9" t="s">
        <v>3869</v>
      </c>
      <c r="H765" s="9" t="s">
        <v>3870</v>
      </c>
      <c r="I765" s="9" t="s">
        <v>3871</v>
      </c>
      <c r="J765" s="9" t="s">
        <v>3872</v>
      </c>
      <c r="K765" s="9" t="s">
        <v>55</v>
      </c>
      <c r="L765" s="9" t="s">
        <v>3873</v>
      </c>
      <c r="M765" s="9">
        <v>42</v>
      </c>
      <c r="N765" s="9">
        <v>18</v>
      </c>
      <c r="O765" s="9" t="s">
        <v>57</v>
      </c>
      <c r="P765" s="9" t="s">
        <v>58</v>
      </c>
      <c r="Q765" s="9">
        <v>1</v>
      </c>
      <c r="R765" s="9">
        <v>0</v>
      </c>
      <c r="S765" s="9">
        <v>1</v>
      </c>
      <c r="T765" s="9">
        <v>1</v>
      </c>
      <c r="U765" s="9">
        <v>0</v>
      </c>
      <c r="V765" s="9" t="s">
        <v>114</v>
      </c>
      <c r="W765" s="9">
        <v>0</v>
      </c>
      <c r="X765" s="9">
        <v>0</v>
      </c>
      <c r="Y765" s="9">
        <v>0</v>
      </c>
      <c r="Z765" s="9">
        <v>0</v>
      </c>
      <c r="AA765" s="9">
        <v>0</v>
      </c>
      <c r="AB765" s="9">
        <v>0</v>
      </c>
      <c r="AC765" s="9">
        <v>14</v>
      </c>
      <c r="AD765" s="9" t="s">
        <v>0</v>
      </c>
      <c r="AE765" s="9" t="s">
        <v>60</v>
      </c>
    </row>
    <row r="766" spans="1:31" ht="114.75" x14ac:dyDescent="0.2">
      <c r="A766" s="8" t="str">
        <f>HYPERLINK("http://www.patentics.cn/invokexml.do?sx=showpatent_cn&amp;sf=ShowPatent&amp;spn=CN102648652&amp;sx=showpatent_cn&amp;sv=ad10de1ef301974a860b8a079e8bfbe7","CN102648652")</f>
        <v>CN102648652</v>
      </c>
      <c r="B766" s="9" t="s">
        <v>3866</v>
      </c>
      <c r="C766" s="9" t="s">
        <v>3867</v>
      </c>
      <c r="D766" s="9" t="s">
        <v>301</v>
      </c>
      <c r="E766" s="9" t="s">
        <v>301</v>
      </c>
      <c r="F766" s="9" t="s">
        <v>3874</v>
      </c>
      <c r="G766" s="9" t="s">
        <v>3869</v>
      </c>
      <c r="H766" s="9" t="s">
        <v>3870</v>
      </c>
      <c r="I766" s="9" t="s">
        <v>3871</v>
      </c>
      <c r="J766" s="9" t="s">
        <v>3875</v>
      </c>
      <c r="K766" s="9" t="s">
        <v>55</v>
      </c>
      <c r="L766" s="9" t="s">
        <v>3873</v>
      </c>
      <c r="M766" s="9">
        <v>59</v>
      </c>
      <c r="N766" s="9">
        <v>12</v>
      </c>
      <c r="O766" s="9" t="s">
        <v>42</v>
      </c>
      <c r="P766" s="9" t="s">
        <v>58</v>
      </c>
      <c r="Q766" s="9">
        <v>3</v>
      </c>
      <c r="R766" s="9">
        <v>0</v>
      </c>
      <c r="S766" s="9">
        <v>3</v>
      </c>
      <c r="T766" s="9">
        <v>3</v>
      </c>
      <c r="U766" s="9">
        <v>1</v>
      </c>
      <c r="V766" s="9" t="s">
        <v>466</v>
      </c>
      <c r="W766" s="9">
        <v>0</v>
      </c>
      <c r="X766" s="9">
        <v>1</v>
      </c>
      <c r="Y766" s="9">
        <v>1</v>
      </c>
      <c r="Z766" s="9">
        <v>1</v>
      </c>
      <c r="AA766" s="9">
        <v>6</v>
      </c>
      <c r="AB766" s="9">
        <v>5</v>
      </c>
      <c r="AC766" s="9">
        <v>14</v>
      </c>
      <c r="AD766" s="9" t="s">
        <v>0</v>
      </c>
      <c r="AE766" s="9" t="s">
        <v>60</v>
      </c>
    </row>
    <row r="767" spans="1:31" ht="51" x14ac:dyDescent="0.2">
      <c r="A767" s="6" t="str">
        <f>HYPERLINK("http://www.patentics.cn/invokexml.do?sx=showpatent_cn&amp;sf=ShowPatent&amp;spn=CN101393639&amp;sx=showpatent_cn&amp;sv=8f0e0be829cfb599bd46ffd92fb6b5ac","CN101393639")</f>
        <v>CN101393639</v>
      </c>
      <c r="B767" s="7" t="s">
        <v>3876</v>
      </c>
      <c r="C767" s="7" t="s">
        <v>3877</v>
      </c>
      <c r="D767" s="7" t="s">
        <v>932</v>
      </c>
      <c r="E767" s="7" t="s">
        <v>932</v>
      </c>
      <c r="F767" s="7" t="s">
        <v>3878</v>
      </c>
      <c r="G767" s="7" t="s">
        <v>3879</v>
      </c>
      <c r="H767" s="7" t="s">
        <v>3880</v>
      </c>
      <c r="I767" s="7" t="s">
        <v>3881</v>
      </c>
      <c r="J767" s="7" t="s">
        <v>2225</v>
      </c>
      <c r="K767" s="7" t="s">
        <v>2163</v>
      </c>
      <c r="L767" s="7" t="s">
        <v>3162</v>
      </c>
      <c r="M767" s="7">
        <v>6</v>
      </c>
      <c r="N767" s="7">
        <v>20</v>
      </c>
      <c r="O767" s="7" t="s">
        <v>42</v>
      </c>
      <c r="P767" s="7" t="s">
        <v>43</v>
      </c>
      <c r="Q767" s="7">
        <v>0</v>
      </c>
      <c r="R767" s="7">
        <v>0</v>
      </c>
      <c r="S767" s="7">
        <v>0</v>
      </c>
      <c r="T767" s="7">
        <v>0</v>
      </c>
      <c r="U767" s="7">
        <v>3</v>
      </c>
      <c r="V767" s="7" t="s">
        <v>3882</v>
      </c>
      <c r="W767" s="7">
        <v>0</v>
      </c>
      <c r="X767" s="7">
        <v>3</v>
      </c>
      <c r="Y767" s="7">
        <v>2</v>
      </c>
      <c r="Z767" s="7">
        <v>1</v>
      </c>
      <c r="AA767" s="7">
        <v>1</v>
      </c>
      <c r="AB767" s="7">
        <v>1</v>
      </c>
      <c r="AC767" s="7" t="s">
        <v>0</v>
      </c>
      <c r="AD767" s="7">
        <v>2</v>
      </c>
      <c r="AE767" s="7" t="s">
        <v>60</v>
      </c>
    </row>
    <row r="768" spans="1:31" ht="89.25" x14ac:dyDescent="0.2">
      <c r="A768" s="8" t="str">
        <f>HYPERLINK("http://www.patentics.cn/invokexml.do?sx=showpatent_cn&amp;sf=ShowPatent&amp;spn=CN102763123B&amp;sx=showpatent_cn&amp;sv=086e150fdd73a9fa0d160b0375f44a6e","CN102763123B")</f>
        <v>CN102763123B</v>
      </c>
      <c r="B768" s="9" t="s">
        <v>3883</v>
      </c>
      <c r="C768" s="9" t="s">
        <v>3884</v>
      </c>
      <c r="D768" s="9" t="s">
        <v>301</v>
      </c>
      <c r="E768" s="9" t="s">
        <v>301</v>
      </c>
      <c r="F768" s="9" t="s">
        <v>3885</v>
      </c>
      <c r="G768" s="9" t="s">
        <v>3886</v>
      </c>
      <c r="H768" s="9" t="s">
        <v>1456</v>
      </c>
      <c r="I768" s="9" t="s">
        <v>1838</v>
      </c>
      <c r="J768" s="9" t="s">
        <v>2630</v>
      </c>
      <c r="K768" s="9" t="s">
        <v>529</v>
      </c>
      <c r="L768" s="9" t="s">
        <v>3887</v>
      </c>
      <c r="M768" s="9">
        <v>31</v>
      </c>
      <c r="N768" s="9">
        <v>18</v>
      </c>
      <c r="O768" s="9" t="s">
        <v>57</v>
      </c>
      <c r="P768" s="9" t="s">
        <v>58</v>
      </c>
      <c r="Q768" s="9">
        <v>3</v>
      </c>
      <c r="R768" s="9">
        <v>0</v>
      </c>
      <c r="S768" s="9">
        <v>3</v>
      </c>
      <c r="T768" s="9">
        <v>2</v>
      </c>
      <c r="U768" s="9">
        <v>0</v>
      </c>
      <c r="V768" s="9" t="s">
        <v>114</v>
      </c>
      <c r="W768" s="9">
        <v>0</v>
      </c>
      <c r="X768" s="9">
        <v>0</v>
      </c>
      <c r="Y768" s="9">
        <v>0</v>
      </c>
      <c r="Z768" s="9">
        <v>0</v>
      </c>
      <c r="AA768" s="9">
        <v>9</v>
      </c>
      <c r="AB768" s="9">
        <v>6</v>
      </c>
      <c r="AC768" s="9">
        <v>14</v>
      </c>
      <c r="AD768" s="9" t="s">
        <v>0</v>
      </c>
      <c r="AE768" s="9" t="s">
        <v>60</v>
      </c>
    </row>
    <row r="769" spans="1:31" ht="89.25" x14ac:dyDescent="0.2">
      <c r="A769" s="8" t="str">
        <f>HYPERLINK("http://www.patentics.cn/invokexml.do?sx=showpatent_cn&amp;sf=ShowPatent&amp;spn=CN102763123&amp;sx=showpatent_cn&amp;sv=9c8b806b5dbe5710bfdcdf6b71a13bf8","CN102763123")</f>
        <v>CN102763123</v>
      </c>
      <c r="B769" s="9" t="s">
        <v>3883</v>
      </c>
      <c r="C769" s="9" t="s">
        <v>3884</v>
      </c>
      <c r="D769" s="9" t="s">
        <v>301</v>
      </c>
      <c r="E769" s="9" t="s">
        <v>301</v>
      </c>
      <c r="F769" s="9" t="s">
        <v>3885</v>
      </c>
      <c r="G769" s="9" t="s">
        <v>3886</v>
      </c>
      <c r="H769" s="9" t="s">
        <v>1456</v>
      </c>
      <c r="I769" s="9" t="s">
        <v>1838</v>
      </c>
      <c r="J769" s="9" t="s">
        <v>3888</v>
      </c>
      <c r="K769" s="9" t="s">
        <v>529</v>
      </c>
      <c r="L769" s="9" t="s">
        <v>3887</v>
      </c>
      <c r="M769" s="9">
        <v>35</v>
      </c>
      <c r="N769" s="9">
        <v>14</v>
      </c>
      <c r="O769" s="9" t="s">
        <v>42</v>
      </c>
      <c r="P769" s="9" t="s">
        <v>58</v>
      </c>
      <c r="Q769" s="9">
        <v>3</v>
      </c>
      <c r="R769" s="9">
        <v>0</v>
      </c>
      <c r="S769" s="9">
        <v>3</v>
      </c>
      <c r="T769" s="9">
        <v>2</v>
      </c>
      <c r="U769" s="9">
        <v>1</v>
      </c>
      <c r="V769" s="9" t="s">
        <v>78</v>
      </c>
      <c r="W769" s="9">
        <v>0</v>
      </c>
      <c r="X769" s="9">
        <v>1</v>
      </c>
      <c r="Y769" s="9">
        <v>1</v>
      </c>
      <c r="Z769" s="9">
        <v>1</v>
      </c>
      <c r="AA769" s="9">
        <v>9</v>
      </c>
      <c r="AB769" s="9">
        <v>6</v>
      </c>
      <c r="AC769" s="9">
        <v>14</v>
      </c>
      <c r="AD769" s="9" t="s">
        <v>0</v>
      </c>
      <c r="AE769" s="9" t="s">
        <v>60</v>
      </c>
    </row>
    <row r="770" spans="1:31" ht="25.5" x14ac:dyDescent="0.2">
      <c r="A770" s="6" t="str">
        <f>HYPERLINK("http://www.patentics.cn/invokexml.do?sx=showpatent_cn&amp;sf=ShowPatent&amp;spn=CN101340222&amp;sx=showpatent_cn&amp;sv=d9f221c657f6134e807bfdb5835cad80","CN101340222")</f>
        <v>CN101340222</v>
      </c>
      <c r="B770" s="7" t="s">
        <v>3889</v>
      </c>
      <c r="C770" s="7" t="s">
        <v>3890</v>
      </c>
      <c r="D770" s="7" t="s">
        <v>1885</v>
      </c>
      <c r="E770" s="7" t="s">
        <v>1886</v>
      </c>
      <c r="F770" s="7" t="s">
        <v>3891</v>
      </c>
      <c r="G770" s="7" t="s">
        <v>3892</v>
      </c>
      <c r="H770" s="7" t="s">
        <v>436</v>
      </c>
      <c r="I770" s="7" t="s">
        <v>436</v>
      </c>
      <c r="J770" s="7" t="s">
        <v>3893</v>
      </c>
      <c r="K770" s="7" t="s">
        <v>89</v>
      </c>
      <c r="L770" s="7" t="s">
        <v>340</v>
      </c>
      <c r="M770" s="7">
        <v>2</v>
      </c>
      <c r="N770" s="7">
        <v>38</v>
      </c>
      <c r="O770" s="7" t="s">
        <v>42</v>
      </c>
      <c r="P770" s="7" t="s">
        <v>43</v>
      </c>
      <c r="Q770" s="7">
        <v>0</v>
      </c>
      <c r="R770" s="7">
        <v>0</v>
      </c>
      <c r="S770" s="7">
        <v>0</v>
      </c>
      <c r="T770" s="7">
        <v>0</v>
      </c>
      <c r="U770" s="7">
        <v>9</v>
      </c>
      <c r="V770" s="7" t="s">
        <v>3894</v>
      </c>
      <c r="W770" s="7">
        <v>0</v>
      </c>
      <c r="X770" s="7">
        <v>9</v>
      </c>
      <c r="Y770" s="7">
        <v>4</v>
      </c>
      <c r="Z770" s="7">
        <v>3</v>
      </c>
      <c r="AA770" s="7">
        <v>1</v>
      </c>
      <c r="AB770" s="7">
        <v>1</v>
      </c>
      <c r="AC770" s="7" t="s">
        <v>0</v>
      </c>
      <c r="AD770" s="7">
        <v>2</v>
      </c>
      <c r="AE770" s="7" t="s">
        <v>532</v>
      </c>
    </row>
    <row r="771" spans="1:31" ht="178.5" x14ac:dyDescent="0.2">
      <c r="A771" s="8" t="str">
        <f>HYPERLINK("http://www.patentics.cn/invokexml.do?sx=showpatent_cn&amp;sf=ShowPatent&amp;spn=US9509391&amp;sx=showpatent_cn&amp;sv=027eac6d3fd025e88089c4211e40a9a2","US9509391")</f>
        <v>US9509391</v>
      </c>
      <c r="B771" s="9" t="s">
        <v>3895</v>
      </c>
      <c r="C771" s="9" t="s">
        <v>3896</v>
      </c>
      <c r="D771" s="9" t="s">
        <v>578</v>
      </c>
      <c r="E771" s="9" t="s">
        <v>49</v>
      </c>
      <c r="F771" s="9" t="s">
        <v>3897</v>
      </c>
      <c r="G771" s="9" t="s">
        <v>3898</v>
      </c>
      <c r="H771" s="9" t="s">
        <v>3899</v>
      </c>
      <c r="I771" s="9" t="s">
        <v>3900</v>
      </c>
      <c r="J771" s="9" t="s">
        <v>2126</v>
      </c>
      <c r="K771" s="9" t="s">
        <v>89</v>
      </c>
      <c r="L771" s="9" t="s">
        <v>263</v>
      </c>
      <c r="M771" s="9">
        <v>33</v>
      </c>
      <c r="N771" s="9">
        <v>15</v>
      </c>
      <c r="O771" s="9" t="s">
        <v>57</v>
      </c>
      <c r="P771" s="9" t="s">
        <v>58</v>
      </c>
      <c r="Q771" s="9">
        <v>31</v>
      </c>
      <c r="R771" s="9">
        <v>6</v>
      </c>
      <c r="S771" s="9">
        <v>25</v>
      </c>
      <c r="T771" s="9">
        <v>13</v>
      </c>
      <c r="U771" s="9">
        <v>0</v>
      </c>
      <c r="V771" s="9" t="s">
        <v>114</v>
      </c>
      <c r="W771" s="9">
        <v>0</v>
      </c>
      <c r="X771" s="9">
        <v>0</v>
      </c>
      <c r="Y771" s="9">
        <v>0</v>
      </c>
      <c r="Z771" s="9">
        <v>0</v>
      </c>
      <c r="AA771" s="9">
        <v>17</v>
      </c>
      <c r="AB771" s="9">
        <v>12</v>
      </c>
      <c r="AC771" s="9">
        <v>14</v>
      </c>
      <c r="AD771" s="9" t="s">
        <v>0</v>
      </c>
      <c r="AE771" s="9" t="s">
        <v>60</v>
      </c>
    </row>
    <row r="772" spans="1:31" ht="165.75" x14ac:dyDescent="0.2">
      <c r="A772" s="8" t="str">
        <f>HYPERLINK("http://www.patentics.cn/invokexml.do?sx=showpatent_cn&amp;sf=ShowPatent&amp;spn=CN103262439B&amp;sx=showpatent_cn&amp;sv=fcee0ff74d3127839ee0a7f2ce201c0d","CN103262439B")</f>
        <v>CN103262439B</v>
      </c>
      <c r="B772" s="9" t="s">
        <v>3901</v>
      </c>
      <c r="C772" s="9" t="s">
        <v>3902</v>
      </c>
      <c r="D772" s="9" t="s">
        <v>301</v>
      </c>
      <c r="E772" s="9" t="s">
        <v>301</v>
      </c>
      <c r="F772" s="9" t="s">
        <v>3903</v>
      </c>
      <c r="G772" s="9" t="s">
        <v>3904</v>
      </c>
      <c r="H772" s="9" t="s">
        <v>3899</v>
      </c>
      <c r="I772" s="9" t="s">
        <v>3763</v>
      </c>
      <c r="J772" s="9" t="s">
        <v>3905</v>
      </c>
      <c r="K772" s="9" t="s">
        <v>89</v>
      </c>
      <c r="L772" s="9" t="s">
        <v>294</v>
      </c>
      <c r="M772" s="9">
        <v>34</v>
      </c>
      <c r="N772" s="9">
        <v>18</v>
      </c>
      <c r="O772" s="9" t="s">
        <v>57</v>
      </c>
      <c r="P772" s="9" t="s">
        <v>58</v>
      </c>
      <c r="Q772" s="9">
        <v>4</v>
      </c>
      <c r="R772" s="9">
        <v>0</v>
      </c>
      <c r="S772" s="9">
        <v>4</v>
      </c>
      <c r="T772" s="9">
        <v>4</v>
      </c>
      <c r="U772" s="9">
        <v>0</v>
      </c>
      <c r="V772" s="9" t="s">
        <v>114</v>
      </c>
      <c r="W772" s="9">
        <v>0</v>
      </c>
      <c r="X772" s="9">
        <v>0</v>
      </c>
      <c r="Y772" s="9">
        <v>0</v>
      </c>
      <c r="Z772" s="9">
        <v>0</v>
      </c>
      <c r="AA772" s="9">
        <v>17</v>
      </c>
      <c r="AB772" s="9">
        <v>12</v>
      </c>
      <c r="AC772" s="9">
        <v>14</v>
      </c>
      <c r="AD772" s="9" t="s">
        <v>0</v>
      </c>
      <c r="AE772" s="9" t="s">
        <v>60</v>
      </c>
    </row>
    <row r="773" spans="1:31" ht="63.75" x14ac:dyDescent="0.2">
      <c r="A773" s="6" t="str">
        <f>HYPERLINK("http://www.patentics.cn/invokexml.do?sx=showpatent_cn&amp;sf=ShowPatent&amp;spn=CN101329767&amp;sx=showpatent_cn&amp;sv=bceab753bc3651f77d860eb6513f8bc7","CN101329767")</f>
        <v>CN101329767</v>
      </c>
      <c r="B773" s="7" t="s">
        <v>3906</v>
      </c>
      <c r="C773" s="7" t="s">
        <v>3907</v>
      </c>
      <c r="D773" s="7" t="s">
        <v>3146</v>
      </c>
      <c r="E773" s="7" t="s">
        <v>3146</v>
      </c>
      <c r="F773" s="7" t="s">
        <v>3908</v>
      </c>
      <c r="G773" s="7" t="s">
        <v>3909</v>
      </c>
      <c r="H773" s="7" t="s">
        <v>3880</v>
      </c>
      <c r="I773" s="7" t="s">
        <v>3880</v>
      </c>
      <c r="J773" s="7" t="s">
        <v>1345</v>
      </c>
      <c r="K773" s="7" t="s">
        <v>2163</v>
      </c>
      <c r="L773" s="7" t="s">
        <v>2164</v>
      </c>
      <c r="M773" s="7">
        <v>1</v>
      </c>
      <c r="N773" s="7">
        <v>127</v>
      </c>
      <c r="O773" s="7" t="s">
        <v>42</v>
      </c>
      <c r="P773" s="7" t="s">
        <v>43</v>
      </c>
      <c r="Q773" s="7">
        <v>0</v>
      </c>
      <c r="R773" s="7">
        <v>0</v>
      </c>
      <c r="S773" s="7">
        <v>0</v>
      </c>
      <c r="T773" s="7">
        <v>0</v>
      </c>
      <c r="U773" s="7">
        <v>21</v>
      </c>
      <c r="V773" s="7" t="s">
        <v>3910</v>
      </c>
      <c r="W773" s="7">
        <v>0</v>
      </c>
      <c r="X773" s="7">
        <v>21</v>
      </c>
      <c r="Y773" s="7">
        <v>8</v>
      </c>
      <c r="Z773" s="7">
        <v>4</v>
      </c>
      <c r="AA773" s="7">
        <v>1</v>
      </c>
      <c r="AB773" s="7">
        <v>1</v>
      </c>
      <c r="AC773" s="7" t="s">
        <v>0</v>
      </c>
      <c r="AD773" s="7">
        <v>2</v>
      </c>
      <c r="AE773" s="7" t="s">
        <v>60</v>
      </c>
    </row>
    <row r="774" spans="1:31" ht="63.75" x14ac:dyDescent="0.2">
      <c r="A774" s="8" t="str">
        <f>HYPERLINK("http://www.patentics.cn/invokexml.do?sx=showpatent_cn&amp;sf=ShowPatent&amp;spn=CN102713938B&amp;sx=showpatent_cn&amp;sv=437bb5a009c901c95b01a2caf06203ea","CN102713938B")</f>
        <v>CN102713938B</v>
      </c>
      <c r="B774" s="9" t="s">
        <v>3911</v>
      </c>
      <c r="C774" s="9" t="s">
        <v>3912</v>
      </c>
      <c r="D774" s="9" t="s">
        <v>301</v>
      </c>
      <c r="E774" s="9" t="s">
        <v>301</v>
      </c>
      <c r="F774" s="9" t="s">
        <v>3913</v>
      </c>
      <c r="G774" s="9" t="s">
        <v>3886</v>
      </c>
      <c r="H774" s="9" t="s">
        <v>3914</v>
      </c>
      <c r="I774" s="9" t="s">
        <v>3915</v>
      </c>
      <c r="J774" s="9" t="s">
        <v>3916</v>
      </c>
      <c r="K774" s="9" t="s">
        <v>529</v>
      </c>
      <c r="L774" s="9" t="s">
        <v>1445</v>
      </c>
      <c r="M774" s="9">
        <v>23</v>
      </c>
      <c r="N774" s="9">
        <v>12</v>
      </c>
      <c r="O774" s="9" t="s">
        <v>57</v>
      </c>
      <c r="P774" s="9" t="s">
        <v>58</v>
      </c>
      <c r="Q774" s="9">
        <v>2</v>
      </c>
      <c r="R774" s="9">
        <v>0</v>
      </c>
      <c r="S774" s="9">
        <v>2</v>
      </c>
      <c r="T774" s="9">
        <v>2</v>
      </c>
      <c r="U774" s="9">
        <v>0</v>
      </c>
      <c r="V774" s="9" t="s">
        <v>114</v>
      </c>
      <c r="W774" s="9">
        <v>0</v>
      </c>
      <c r="X774" s="9">
        <v>0</v>
      </c>
      <c r="Y774" s="9">
        <v>0</v>
      </c>
      <c r="Z774" s="9">
        <v>0</v>
      </c>
      <c r="AA774" s="9">
        <v>10</v>
      </c>
      <c r="AB774" s="9">
        <v>7</v>
      </c>
      <c r="AC774" s="9">
        <v>14</v>
      </c>
      <c r="AD774" s="9" t="s">
        <v>0</v>
      </c>
      <c r="AE774" s="9" t="s">
        <v>60</v>
      </c>
    </row>
    <row r="775" spans="1:31" ht="63.75" x14ac:dyDescent="0.2">
      <c r="A775" s="8" t="str">
        <f>HYPERLINK("http://www.patentics.cn/invokexml.do?sx=showpatent_cn&amp;sf=ShowPatent&amp;spn=CN102713938&amp;sx=showpatent_cn&amp;sv=012480be583d45388daf274724186211","CN102713938")</f>
        <v>CN102713938</v>
      </c>
      <c r="B775" s="9" t="s">
        <v>3911</v>
      </c>
      <c r="C775" s="9" t="s">
        <v>3912</v>
      </c>
      <c r="D775" s="9" t="s">
        <v>301</v>
      </c>
      <c r="E775" s="9" t="s">
        <v>301</v>
      </c>
      <c r="F775" s="9" t="s">
        <v>3913</v>
      </c>
      <c r="G775" s="9" t="s">
        <v>3886</v>
      </c>
      <c r="H775" s="9" t="s">
        <v>3914</v>
      </c>
      <c r="I775" s="9" t="s">
        <v>3915</v>
      </c>
      <c r="J775" s="9" t="s">
        <v>3917</v>
      </c>
      <c r="K775" s="9" t="s">
        <v>529</v>
      </c>
      <c r="L775" s="9" t="s">
        <v>1445</v>
      </c>
      <c r="M775" s="9">
        <v>28</v>
      </c>
      <c r="N775" s="9">
        <v>6</v>
      </c>
      <c r="O775" s="9" t="s">
        <v>42</v>
      </c>
      <c r="P775" s="9" t="s">
        <v>58</v>
      </c>
      <c r="Q775" s="9">
        <v>3</v>
      </c>
      <c r="R775" s="9">
        <v>0</v>
      </c>
      <c r="S775" s="9">
        <v>3</v>
      </c>
      <c r="T775" s="9">
        <v>3</v>
      </c>
      <c r="U775" s="9">
        <v>0</v>
      </c>
      <c r="V775" s="9" t="s">
        <v>114</v>
      </c>
      <c r="W775" s="9">
        <v>0</v>
      </c>
      <c r="X775" s="9">
        <v>0</v>
      </c>
      <c r="Y775" s="9">
        <v>0</v>
      </c>
      <c r="Z775" s="9">
        <v>0</v>
      </c>
      <c r="AA775" s="9">
        <v>10</v>
      </c>
      <c r="AB775" s="9">
        <v>7</v>
      </c>
      <c r="AC775" s="9">
        <v>14</v>
      </c>
      <c r="AD775" s="9" t="s">
        <v>0</v>
      </c>
      <c r="AE775" s="9" t="s">
        <v>60</v>
      </c>
    </row>
    <row r="776" spans="1:31" ht="38.25" x14ac:dyDescent="0.2">
      <c r="A776" s="6" t="str">
        <f>HYPERLINK("http://www.patentics.cn/invokexml.do?sx=showpatent_cn&amp;sf=ShowPatent&amp;spn=CN101327126&amp;sx=showpatent_cn&amp;sv=1ed5221a6546171c8d4aaded1f6dc6ae","CN101327126")</f>
        <v>CN101327126</v>
      </c>
      <c r="B776" s="7" t="s">
        <v>3918</v>
      </c>
      <c r="C776" s="7" t="s">
        <v>3919</v>
      </c>
      <c r="D776" s="7" t="s">
        <v>3184</v>
      </c>
      <c r="E776" s="7" t="s">
        <v>3184</v>
      </c>
      <c r="F776" s="7" t="s">
        <v>3920</v>
      </c>
      <c r="G776" s="7" t="s">
        <v>3921</v>
      </c>
      <c r="H776" s="7" t="s">
        <v>0</v>
      </c>
      <c r="I776" s="7" t="s">
        <v>987</v>
      </c>
      <c r="J776" s="7" t="s">
        <v>1345</v>
      </c>
      <c r="K776" s="7" t="s">
        <v>3379</v>
      </c>
      <c r="L776" s="7" t="s">
        <v>3922</v>
      </c>
      <c r="M776" s="7">
        <v>6</v>
      </c>
      <c r="N776" s="7">
        <v>40</v>
      </c>
      <c r="O776" s="7" t="s">
        <v>42</v>
      </c>
      <c r="P776" s="7" t="s">
        <v>43</v>
      </c>
      <c r="Q776" s="7">
        <v>0</v>
      </c>
      <c r="R776" s="7">
        <v>0</v>
      </c>
      <c r="S776" s="7">
        <v>0</v>
      </c>
      <c r="T776" s="7">
        <v>0</v>
      </c>
      <c r="U776" s="7">
        <v>7</v>
      </c>
      <c r="V776" s="7" t="s">
        <v>3923</v>
      </c>
      <c r="W776" s="7">
        <v>0</v>
      </c>
      <c r="X776" s="7">
        <v>7</v>
      </c>
      <c r="Y776" s="7">
        <v>4</v>
      </c>
      <c r="Z776" s="7">
        <v>1</v>
      </c>
      <c r="AA776" s="7">
        <v>0</v>
      </c>
      <c r="AB776" s="7">
        <v>0</v>
      </c>
      <c r="AC776" s="7" t="s">
        <v>0</v>
      </c>
      <c r="AD776" s="7">
        <v>2</v>
      </c>
      <c r="AE776" s="7" t="s">
        <v>45</v>
      </c>
    </row>
    <row r="777" spans="1:31" ht="165.75" x14ac:dyDescent="0.2">
      <c r="A777" s="8" t="str">
        <f>HYPERLINK("http://www.patentics.cn/invokexml.do?sx=showpatent_cn&amp;sf=ShowPatent&amp;spn=CN103026368B&amp;sx=showpatent_cn&amp;sv=326374189d263ea2a4ece8bf90c536fe","CN103026368B")</f>
        <v>CN103026368B</v>
      </c>
      <c r="B777" s="9" t="s">
        <v>3924</v>
      </c>
      <c r="C777" s="9" t="s">
        <v>3925</v>
      </c>
      <c r="D777" s="9" t="s">
        <v>301</v>
      </c>
      <c r="E777" s="9" t="s">
        <v>301</v>
      </c>
      <c r="F777" s="9" t="s">
        <v>3926</v>
      </c>
      <c r="G777" s="9" t="s">
        <v>3927</v>
      </c>
      <c r="H777" s="9" t="s">
        <v>1584</v>
      </c>
      <c r="I777" s="9" t="s">
        <v>1603</v>
      </c>
      <c r="J777" s="9" t="s">
        <v>3928</v>
      </c>
      <c r="K777" s="9" t="s">
        <v>529</v>
      </c>
      <c r="L777" s="9" t="s">
        <v>1445</v>
      </c>
      <c r="M777" s="9">
        <v>38</v>
      </c>
      <c r="N777" s="9">
        <v>13</v>
      </c>
      <c r="O777" s="9" t="s">
        <v>57</v>
      </c>
      <c r="P777" s="9" t="s">
        <v>58</v>
      </c>
      <c r="Q777" s="9">
        <v>4</v>
      </c>
      <c r="R777" s="9">
        <v>0</v>
      </c>
      <c r="S777" s="9">
        <v>4</v>
      </c>
      <c r="T777" s="9">
        <v>4</v>
      </c>
      <c r="U777" s="9">
        <v>0</v>
      </c>
      <c r="V777" s="9" t="s">
        <v>114</v>
      </c>
      <c r="W777" s="9">
        <v>0</v>
      </c>
      <c r="X777" s="9">
        <v>0</v>
      </c>
      <c r="Y777" s="9">
        <v>0</v>
      </c>
      <c r="Z777" s="9">
        <v>0</v>
      </c>
      <c r="AA777" s="9">
        <v>11</v>
      </c>
      <c r="AB777" s="9">
        <v>7</v>
      </c>
      <c r="AC777" s="9">
        <v>14</v>
      </c>
      <c r="AD777" s="9" t="s">
        <v>0</v>
      </c>
      <c r="AE777" s="9" t="s">
        <v>60</v>
      </c>
    </row>
    <row r="778" spans="1:31" ht="165.75" x14ac:dyDescent="0.2">
      <c r="A778" s="8" t="str">
        <f>HYPERLINK("http://www.patentics.cn/invokexml.do?sx=showpatent_cn&amp;sf=ShowPatent&amp;spn=CN103026368&amp;sx=showpatent_cn&amp;sv=f974ca94156017d8c3879472c1950c19","CN103026368")</f>
        <v>CN103026368</v>
      </c>
      <c r="B778" s="9" t="s">
        <v>3924</v>
      </c>
      <c r="C778" s="9" t="s">
        <v>3925</v>
      </c>
      <c r="D778" s="9" t="s">
        <v>301</v>
      </c>
      <c r="E778" s="9" t="s">
        <v>301</v>
      </c>
      <c r="F778" s="9" t="s">
        <v>3926</v>
      </c>
      <c r="G778" s="9" t="s">
        <v>3927</v>
      </c>
      <c r="H778" s="9" t="s">
        <v>1584</v>
      </c>
      <c r="I778" s="9" t="s">
        <v>1603</v>
      </c>
      <c r="J778" s="9" t="s">
        <v>3203</v>
      </c>
      <c r="K778" s="9" t="s">
        <v>529</v>
      </c>
      <c r="L778" s="9" t="s">
        <v>1445</v>
      </c>
      <c r="M778" s="9">
        <v>50</v>
      </c>
      <c r="N778" s="9">
        <v>13</v>
      </c>
      <c r="O778" s="9" t="s">
        <v>42</v>
      </c>
      <c r="P778" s="9" t="s">
        <v>58</v>
      </c>
      <c r="Q778" s="9">
        <v>4</v>
      </c>
      <c r="R778" s="9">
        <v>0</v>
      </c>
      <c r="S778" s="9">
        <v>4</v>
      </c>
      <c r="T778" s="9">
        <v>4</v>
      </c>
      <c r="U778" s="9">
        <v>0</v>
      </c>
      <c r="V778" s="9" t="s">
        <v>114</v>
      </c>
      <c r="W778" s="9">
        <v>0</v>
      </c>
      <c r="X778" s="9">
        <v>0</v>
      </c>
      <c r="Y778" s="9">
        <v>0</v>
      </c>
      <c r="Z778" s="9">
        <v>0</v>
      </c>
      <c r="AA778" s="9">
        <v>11</v>
      </c>
      <c r="AB778" s="9">
        <v>7</v>
      </c>
      <c r="AC778" s="9">
        <v>14</v>
      </c>
      <c r="AD778" s="9" t="s">
        <v>0</v>
      </c>
      <c r="AE778" s="9" t="s">
        <v>60</v>
      </c>
    </row>
    <row r="779" spans="1:31" ht="38.25" x14ac:dyDescent="0.2">
      <c r="A779" s="6" t="str">
        <f>HYPERLINK("http://www.patentics.cn/invokexml.do?sx=showpatent_cn&amp;sf=ShowPatent&amp;spn=CN101330617&amp;sx=showpatent_cn&amp;sv=42ae3b347d4a80a6abc1ca258d919fce","CN101330617")</f>
        <v>CN101330617</v>
      </c>
      <c r="B779" s="7" t="s">
        <v>3929</v>
      </c>
      <c r="C779" s="7" t="s">
        <v>3930</v>
      </c>
      <c r="D779" s="7" t="s">
        <v>1341</v>
      </c>
      <c r="E779" s="7" t="s">
        <v>1341</v>
      </c>
      <c r="F779" s="7" t="s">
        <v>3931</v>
      </c>
      <c r="G779" s="7" t="s">
        <v>3932</v>
      </c>
      <c r="H779" s="7" t="s">
        <v>1344</v>
      </c>
      <c r="I779" s="7" t="s">
        <v>1344</v>
      </c>
      <c r="J779" s="7" t="s">
        <v>1345</v>
      </c>
      <c r="K779" s="7" t="s">
        <v>714</v>
      </c>
      <c r="L779" s="7" t="s">
        <v>1346</v>
      </c>
      <c r="M779" s="7">
        <v>8</v>
      </c>
      <c r="N779" s="7">
        <v>21</v>
      </c>
      <c r="O779" s="7" t="s">
        <v>42</v>
      </c>
      <c r="P779" s="7" t="s">
        <v>43</v>
      </c>
      <c r="Q779" s="7">
        <v>0</v>
      </c>
      <c r="R779" s="7">
        <v>0</v>
      </c>
      <c r="S779" s="7">
        <v>0</v>
      </c>
      <c r="T779" s="7">
        <v>0</v>
      </c>
      <c r="U779" s="7">
        <v>10</v>
      </c>
      <c r="V779" s="7" t="s">
        <v>3933</v>
      </c>
      <c r="W779" s="7">
        <v>0</v>
      </c>
      <c r="X779" s="7">
        <v>10</v>
      </c>
      <c r="Y779" s="7">
        <v>9</v>
      </c>
      <c r="Z779" s="7">
        <v>2</v>
      </c>
      <c r="AA779" s="7">
        <v>1</v>
      </c>
      <c r="AB779" s="7">
        <v>1</v>
      </c>
      <c r="AC779" s="7" t="s">
        <v>0</v>
      </c>
      <c r="AD779" s="7">
        <v>2</v>
      </c>
      <c r="AE779" s="7" t="s">
        <v>60</v>
      </c>
    </row>
    <row r="780" spans="1:31" ht="51" x14ac:dyDescent="0.2">
      <c r="A780" s="8" t="str">
        <f>HYPERLINK("http://www.patentics.cn/invokexml.do?sx=showpatent_cn&amp;sf=ShowPatent&amp;spn=CN103140877B&amp;sx=showpatent_cn&amp;sv=d07d49f36ac91fab08b398ff49bd881f","CN103140877B")</f>
        <v>CN103140877B</v>
      </c>
      <c r="B780" s="9" t="s">
        <v>3934</v>
      </c>
      <c r="C780" s="9" t="s">
        <v>3935</v>
      </c>
      <c r="D780" s="9" t="s">
        <v>301</v>
      </c>
      <c r="E780" s="9" t="s">
        <v>301</v>
      </c>
      <c r="F780" s="9" t="s">
        <v>3936</v>
      </c>
      <c r="G780" s="9" t="s">
        <v>3937</v>
      </c>
      <c r="H780" s="9" t="s">
        <v>3938</v>
      </c>
      <c r="I780" s="9" t="s">
        <v>3939</v>
      </c>
      <c r="J780" s="9" t="s">
        <v>3940</v>
      </c>
      <c r="K780" s="9" t="s">
        <v>714</v>
      </c>
      <c r="L780" s="9" t="s">
        <v>3941</v>
      </c>
      <c r="M780" s="9">
        <v>25</v>
      </c>
      <c r="N780" s="9">
        <v>14</v>
      </c>
      <c r="O780" s="9" t="s">
        <v>57</v>
      </c>
      <c r="P780" s="9" t="s">
        <v>58</v>
      </c>
      <c r="Q780" s="9">
        <v>1</v>
      </c>
      <c r="R780" s="9">
        <v>0</v>
      </c>
      <c r="S780" s="9">
        <v>1</v>
      </c>
      <c r="T780" s="9">
        <v>1</v>
      </c>
      <c r="U780" s="9">
        <v>0</v>
      </c>
      <c r="V780" s="9" t="s">
        <v>114</v>
      </c>
      <c r="W780" s="9">
        <v>0</v>
      </c>
      <c r="X780" s="9">
        <v>0</v>
      </c>
      <c r="Y780" s="9">
        <v>0</v>
      </c>
      <c r="Z780" s="9">
        <v>0</v>
      </c>
      <c r="AA780" s="9">
        <v>0</v>
      </c>
      <c r="AB780" s="9">
        <v>0</v>
      </c>
      <c r="AC780" s="9">
        <v>14</v>
      </c>
      <c r="AD780" s="9" t="s">
        <v>0</v>
      </c>
      <c r="AE780" s="9" t="s">
        <v>60</v>
      </c>
    </row>
    <row r="781" spans="1:31" ht="51" x14ac:dyDescent="0.2">
      <c r="A781" s="8" t="str">
        <f>HYPERLINK("http://www.patentics.cn/invokexml.do?sx=showpatent_cn&amp;sf=ShowPatent&amp;spn=CN103140877&amp;sx=showpatent_cn&amp;sv=c254b7fa60536cc0804658e6c1ce00ab","CN103140877")</f>
        <v>CN103140877</v>
      </c>
      <c r="B781" s="9" t="s">
        <v>3934</v>
      </c>
      <c r="C781" s="9" t="s">
        <v>3935</v>
      </c>
      <c r="D781" s="9" t="s">
        <v>301</v>
      </c>
      <c r="E781" s="9" t="s">
        <v>301</v>
      </c>
      <c r="F781" s="9" t="s">
        <v>3936</v>
      </c>
      <c r="G781" s="9" t="s">
        <v>3937</v>
      </c>
      <c r="H781" s="9" t="s">
        <v>3938</v>
      </c>
      <c r="I781" s="9" t="s">
        <v>3939</v>
      </c>
      <c r="J781" s="9" t="s">
        <v>3942</v>
      </c>
      <c r="K781" s="9" t="s">
        <v>2163</v>
      </c>
      <c r="L781" s="9" t="s">
        <v>3943</v>
      </c>
      <c r="M781" s="9">
        <v>35</v>
      </c>
      <c r="N781" s="9">
        <v>13</v>
      </c>
      <c r="O781" s="9" t="s">
        <v>42</v>
      </c>
      <c r="P781" s="9" t="s">
        <v>58</v>
      </c>
      <c r="Q781" s="9">
        <v>5</v>
      </c>
      <c r="R781" s="9">
        <v>2</v>
      </c>
      <c r="S781" s="9">
        <v>3</v>
      </c>
      <c r="T781" s="9">
        <v>4</v>
      </c>
      <c r="U781" s="9">
        <v>0</v>
      </c>
      <c r="V781" s="9" t="s">
        <v>114</v>
      </c>
      <c r="W781" s="9">
        <v>0</v>
      </c>
      <c r="X781" s="9">
        <v>0</v>
      </c>
      <c r="Y781" s="9">
        <v>0</v>
      </c>
      <c r="Z781" s="9">
        <v>0</v>
      </c>
      <c r="AA781" s="9">
        <v>6</v>
      </c>
      <c r="AB781" s="9">
        <v>6</v>
      </c>
      <c r="AC781" s="9">
        <v>14</v>
      </c>
      <c r="AD781" s="9" t="s">
        <v>0</v>
      </c>
      <c r="AE781" s="9" t="s">
        <v>60</v>
      </c>
    </row>
    <row r="782" spans="1:31" ht="51" x14ac:dyDescent="0.2">
      <c r="A782" s="6" t="str">
        <f>HYPERLINK("http://www.patentics.cn/invokexml.do?sx=showpatent_cn&amp;sf=ShowPatent&amp;spn=CN101304300&amp;sx=showpatent_cn&amp;sv=c6a2d76a131acc91927743f6403e83ff","CN101304300")</f>
        <v>CN101304300</v>
      </c>
      <c r="B782" s="7" t="s">
        <v>3944</v>
      </c>
      <c r="C782" s="7" t="s">
        <v>3945</v>
      </c>
      <c r="D782" s="7" t="s">
        <v>1341</v>
      </c>
      <c r="E782" s="7" t="s">
        <v>1341</v>
      </c>
      <c r="F782" s="7" t="s">
        <v>3946</v>
      </c>
      <c r="G782" s="7" t="s">
        <v>3947</v>
      </c>
      <c r="H782" s="7" t="s">
        <v>3948</v>
      </c>
      <c r="I782" s="7" t="s">
        <v>3948</v>
      </c>
      <c r="J782" s="7" t="s">
        <v>1280</v>
      </c>
      <c r="K782" s="7" t="s">
        <v>68</v>
      </c>
      <c r="L782" s="7" t="s">
        <v>211</v>
      </c>
      <c r="M782" s="7">
        <v>10</v>
      </c>
      <c r="N782" s="7">
        <v>23</v>
      </c>
      <c r="O782" s="7" t="s">
        <v>42</v>
      </c>
      <c r="P782" s="7" t="s">
        <v>43</v>
      </c>
      <c r="Q782" s="7">
        <v>0</v>
      </c>
      <c r="R782" s="7">
        <v>0</v>
      </c>
      <c r="S782" s="7">
        <v>0</v>
      </c>
      <c r="T782" s="7">
        <v>0</v>
      </c>
      <c r="U782" s="7">
        <v>11</v>
      </c>
      <c r="V782" s="7" t="s">
        <v>3949</v>
      </c>
      <c r="W782" s="7">
        <v>0</v>
      </c>
      <c r="X782" s="7">
        <v>11</v>
      </c>
      <c r="Y782" s="7">
        <v>4</v>
      </c>
      <c r="Z782" s="7">
        <v>3</v>
      </c>
      <c r="AA782" s="7">
        <v>1</v>
      </c>
      <c r="AB782" s="7">
        <v>1</v>
      </c>
      <c r="AC782" s="7" t="s">
        <v>0</v>
      </c>
      <c r="AD782" s="7">
        <v>2</v>
      </c>
      <c r="AE782" s="7" t="s">
        <v>532</v>
      </c>
    </row>
    <row r="783" spans="1:31" ht="51" x14ac:dyDescent="0.2">
      <c r="A783" s="8" t="str">
        <f>HYPERLINK("http://www.patentics.cn/invokexml.do?sx=showpatent_cn&amp;sf=ShowPatent&amp;spn=US8787183&amp;sx=showpatent_cn&amp;sv=5f5c97c808e78ae75e77cbb74915581b","US8787183")</f>
        <v>US8787183</v>
      </c>
      <c r="B783" s="9" t="s">
        <v>3950</v>
      </c>
      <c r="C783" s="9" t="s">
        <v>3951</v>
      </c>
      <c r="D783" s="9" t="s">
        <v>48</v>
      </c>
      <c r="E783" s="9" t="s">
        <v>49</v>
      </c>
      <c r="F783" s="9" t="s">
        <v>3952</v>
      </c>
      <c r="G783" s="9" t="s">
        <v>3953</v>
      </c>
      <c r="H783" s="9" t="s">
        <v>3954</v>
      </c>
      <c r="I783" s="9" t="s">
        <v>3955</v>
      </c>
      <c r="J783" s="9" t="s">
        <v>141</v>
      </c>
      <c r="K783" s="9" t="s">
        <v>2217</v>
      </c>
      <c r="L783" s="9" t="s">
        <v>3956</v>
      </c>
      <c r="M783" s="9">
        <v>19</v>
      </c>
      <c r="N783" s="9">
        <v>8</v>
      </c>
      <c r="O783" s="9" t="s">
        <v>57</v>
      </c>
      <c r="P783" s="9" t="s">
        <v>58</v>
      </c>
      <c r="Q783" s="9">
        <v>19</v>
      </c>
      <c r="R783" s="9">
        <v>1</v>
      </c>
      <c r="S783" s="9">
        <v>18</v>
      </c>
      <c r="T783" s="9">
        <v>12</v>
      </c>
      <c r="U783" s="9">
        <v>1</v>
      </c>
      <c r="V783" s="9" t="s">
        <v>264</v>
      </c>
      <c r="W783" s="9">
        <v>0</v>
      </c>
      <c r="X783" s="9">
        <v>1</v>
      </c>
      <c r="Y783" s="9">
        <v>1</v>
      </c>
      <c r="Z783" s="9">
        <v>1</v>
      </c>
      <c r="AA783" s="9">
        <v>14</v>
      </c>
      <c r="AB783" s="9">
        <v>7</v>
      </c>
      <c r="AC783" s="9">
        <v>14</v>
      </c>
      <c r="AD783" s="9" t="s">
        <v>0</v>
      </c>
      <c r="AE783" s="9" t="s">
        <v>60</v>
      </c>
    </row>
    <row r="784" spans="1:31" ht="25.5" x14ac:dyDescent="0.2">
      <c r="A784" s="8" t="str">
        <f>HYPERLINK("http://www.patentics.cn/invokexml.do?sx=showpatent_cn&amp;sf=ShowPatent&amp;spn=CN102273154B&amp;sx=showpatent_cn&amp;sv=88b64b0cc996627fe044752cdbfa924c","CN102273154B")</f>
        <v>CN102273154B</v>
      </c>
      <c r="B784" s="9" t="s">
        <v>3957</v>
      </c>
      <c r="C784" s="9" t="s">
        <v>3958</v>
      </c>
      <c r="D784" s="9" t="s">
        <v>301</v>
      </c>
      <c r="E784" s="9" t="s">
        <v>301</v>
      </c>
      <c r="F784" s="9" t="s">
        <v>423</v>
      </c>
      <c r="G784" s="9" t="s">
        <v>424</v>
      </c>
      <c r="H784" s="9" t="s">
        <v>3954</v>
      </c>
      <c r="I784" s="9" t="s">
        <v>3959</v>
      </c>
      <c r="J784" s="9" t="s">
        <v>2335</v>
      </c>
      <c r="K784" s="9" t="s">
        <v>68</v>
      </c>
      <c r="L784" s="9" t="s">
        <v>428</v>
      </c>
      <c r="M784" s="9">
        <v>33</v>
      </c>
      <c r="N784" s="9">
        <v>17</v>
      </c>
      <c r="O784" s="9" t="s">
        <v>57</v>
      </c>
      <c r="P784" s="9" t="s">
        <v>58</v>
      </c>
      <c r="Q784" s="9">
        <v>3</v>
      </c>
      <c r="R784" s="9">
        <v>0</v>
      </c>
      <c r="S784" s="9">
        <v>3</v>
      </c>
      <c r="T784" s="9">
        <v>3</v>
      </c>
      <c r="U784" s="9">
        <v>0</v>
      </c>
      <c r="V784" s="9" t="s">
        <v>114</v>
      </c>
      <c r="W784" s="9">
        <v>0</v>
      </c>
      <c r="X784" s="9">
        <v>0</v>
      </c>
      <c r="Y784" s="9">
        <v>0</v>
      </c>
      <c r="Z784" s="9">
        <v>0</v>
      </c>
      <c r="AA784" s="9">
        <v>14</v>
      </c>
      <c r="AB784" s="9">
        <v>7</v>
      </c>
      <c r="AC784" s="9">
        <v>14</v>
      </c>
      <c r="AD784" s="9" t="s">
        <v>0</v>
      </c>
      <c r="AE784" s="9" t="s">
        <v>60</v>
      </c>
    </row>
    <row r="785" spans="1:31" ht="63.75" x14ac:dyDescent="0.2">
      <c r="A785" s="6" t="str">
        <f>HYPERLINK("http://www.patentics.cn/invokexml.do?sx=showpatent_cn&amp;sf=ShowPatent&amp;spn=CN101296481&amp;sx=showpatent_cn&amp;sv=fddcbe5563647c1c0a03abfdc909b63f","CN101296481")</f>
        <v>CN101296481</v>
      </c>
      <c r="B785" s="7" t="s">
        <v>3960</v>
      </c>
      <c r="C785" s="7" t="s">
        <v>3961</v>
      </c>
      <c r="D785" s="7" t="s">
        <v>3962</v>
      </c>
      <c r="E785" s="7" t="s">
        <v>3962</v>
      </c>
      <c r="F785" s="7" t="s">
        <v>3963</v>
      </c>
      <c r="G785" s="7" t="s">
        <v>3964</v>
      </c>
      <c r="H785" s="7" t="s">
        <v>0</v>
      </c>
      <c r="I785" s="7" t="s">
        <v>3965</v>
      </c>
      <c r="J785" s="7" t="s">
        <v>3864</v>
      </c>
      <c r="K785" s="7" t="s">
        <v>96</v>
      </c>
      <c r="L785" s="7" t="s">
        <v>1102</v>
      </c>
      <c r="M785" s="7">
        <v>18</v>
      </c>
      <c r="N785" s="7">
        <v>8</v>
      </c>
      <c r="O785" s="7" t="s">
        <v>42</v>
      </c>
      <c r="P785" s="7" t="s">
        <v>43</v>
      </c>
      <c r="Q785" s="7">
        <v>0</v>
      </c>
      <c r="R785" s="7">
        <v>0</v>
      </c>
      <c r="S785" s="7">
        <v>0</v>
      </c>
      <c r="T785" s="7">
        <v>0</v>
      </c>
      <c r="U785" s="7">
        <v>11</v>
      </c>
      <c r="V785" s="7" t="s">
        <v>3966</v>
      </c>
      <c r="W785" s="7">
        <v>3</v>
      </c>
      <c r="X785" s="7">
        <v>8</v>
      </c>
      <c r="Y785" s="7">
        <v>5</v>
      </c>
      <c r="Z785" s="7">
        <v>3</v>
      </c>
      <c r="AA785" s="7">
        <v>0</v>
      </c>
      <c r="AB785" s="7">
        <v>0</v>
      </c>
      <c r="AC785" s="7" t="s">
        <v>0</v>
      </c>
      <c r="AD785" s="7">
        <v>2</v>
      </c>
      <c r="AE785" s="7" t="s">
        <v>1390</v>
      </c>
    </row>
    <row r="786" spans="1:31" ht="63.75" x14ac:dyDescent="0.2">
      <c r="A786" s="8" t="str">
        <f>HYPERLINK("http://www.patentics.cn/invokexml.do?sx=showpatent_cn&amp;sf=ShowPatent&amp;spn=US9131419&amp;sx=showpatent_cn&amp;sv=77fe087016831e1333f85fe99710b131","US9131419")</f>
        <v>US9131419</v>
      </c>
      <c r="B786" s="9" t="s">
        <v>3967</v>
      </c>
      <c r="C786" s="9" t="s">
        <v>3968</v>
      </c>
      <c r="D786" s="9" t="s">
        <v>48</v>
      </c>
      <c r="E786" s="9" t="s">
        <v>49</v>
      </c>
      <c r="F786" s="9" t="s">
        <v>3969</v>
      </c>
      <c r="G786" s="9" t="s">
        <v>3970</v>
      </c>
      <c r="H786" s="9" t="s">
        <v>3971</v>
      </c>
      <c r="I786" s="9" t="s">
        <v>3971</v>
      </c>
      <c r="J786" s="9" t="s">
        <v>190</v>
      </c>
      <c r="K786" s="9" t="s">
        <v>55</v>
      </c>
      <c r="L786" s="9" t="s">
        <v>150</v>
      </c>
      <c r="M786" s="9">
        <v>30</v>
      </c>
      <c r="N786" s="9">
        <v>23</v>
      </c>
      <c r="O786" s="9" t="s">
        <v>57</v>
      </c>
      <c r="P786" s="9" t="s">
        <v>43</v>
      </c>
      <c r="Q786" s="9">
        <v>6</v>
      </c>
      <c r="R786" s="9">
        <v>0</v>
      </c>
      <c r="S786" s="9">
        <v>6</v>
      </c>
      <c r="T786" s="9">
        <v>6</v>
      </c>
      <c r="U786" s="9">
        <v>0</v>
      </c>
      <c r="V786" s="9" t="s">
        <v>114</v>
      </c>
      <c r="W786" s="9">
        <v>0</v>
      </c>
      <c r="X786" s="9">
        <v>0</v>
      </c>
      <c r="Y786" s="9">
        <v>0</v>
      </c>
      <c r="Z786" s="9">
        <v>0</v>
      </c>
      <c r="AA786" s="9">
        <v>9</v>
      </c>
      <c r="AB786" s="9">
        <v>6</v>
      </c>
      <c r="AC786" s="9">
        <v>14</v>
      </c>
      <c r="AD786" s="9" t="s">
        <v>0</v>
      </c>
      <c r="AE786" s="9" t="s">
        <v>60</v>
      </c>
    </row>
    <row r="787" spans="1:31" ht="63.75" x14ac:dyDescent="0.2">
      <c r="A787" s="8" t="str">
        <f>HYPERLINK("http://www.patentics.cn/invokexml.do?sx=showpatent_cn&amp;sf=ShowPatent&amp;spn=WO2012135994&amp;sx=showpatent_cn&amp;sv=7e18267ea4867ca612466571f8fab297","WO2012135994")</f>
        <v>WO2012135994</v>
      </c>
      <c r="B787" s="9" t="s">
        <v>3972</v>
      </c>
      <c r="C787" s="9" t="s">
        <v>3973</v>
      </c>
      <c r="D787" s="9" t="s">
        <v>117</v>
      </c>
      <c r="E787" s="9" t="s">
        <v>49</v>
      </c>
      <c r="F787" s="9" t="s">
        <v>3974</v>
      </c>
      <c r="G787" s="9" t="s">
        <v>3975</v>
      </c>
      <c r="H787" s="9" t="s">
        <v>3971</v>
      </c>
      <c r="I787" s="9" t="s">
        <v>3971</v>
      </c>
      <c r="J787" s="9" t="s">
        <v>3976</v>
      </c>
      <c r="K787" s="9" t="s">
        <v>55</v>
      </c>
      <c r="L787" s="9" t="s">
        <v>150</v>
      </c>
      <c r="M787" s="9">
        <v>108</v>
      </c>
      <c r="N787" s="9">
        <v>26</v>
      </c>
      <c r="O787" s="9" t="s">
        <v>850</v>
      </c>
      <c r="P787" s="9" t="s">
        <v>43</v>
      </c>
      <c r="Q787" s="9">
        <v>3</v>
      </c>
      <c r="R787" s="9">
        <v>0</v>
      </c>
      <c r="S787" s="9">
        <v>3</v>
      </c>
      <c r="T787" s="9">
        <v>3</v>
      </c>
      <c r="U787" s="9">
        <v>6</v>
      </c>
      <c r="V787" s="9" t="s">
        <v>3977</v>
      </c>
      <c r="W787" s="9">
        <v>0</v>
      </c>
      <c r="X787" s="9">
        <v>6</v>
      </c>
      <c r="Y787" s="9">
        <v>5</v>
      </c>
      <c r="Z787" s="9">
        <v>3</v>
      </c>
      <c r="AA787" s="9">
        <v>9</v>
      </c>
      <c r="AB787" s="9">
        <v>6</v>
      </c>
      <c r="AC787" s="9">
        <v>14</v>
      </c>
      <c r="AD787" s="9" t="s">
        <v>0</v>
      </c>
      <c r="AE787" s="9" t="s">
        <v>0</v>
      </c>
    </row>
    <row r="788" spans="1:31" ht="76.5" x14ac:dyDescent="0.2">
      <c r="A788" s="6" t="str">
        <f>HYPERLINK("http://www.patentics.cn/invokexml.do?sx=showpatent_cn&amp;sf=ShowPatent&amp;spn=CN101237467&amp;sx=showpatent_cn&amp;sv=21a6d138bf2c3ce3979ab9c2a41166dd","CN101237467")</f>
        <v>CN101237467</v>
      </c>
      <c r="B788" s="7" t="s">
        <v>3978</v>
      </c>
      <c r="C788" s="7" t="s">
        <v>3979</v>
      </c>
      <c r="D788" s="7" t="s">
        <v>1097</v>
      </c>
      <c r="E788" s="7" t="s">
        <v>1097</v>
      </c>
      <c r="F788" s="7" t="s">
        <v>3980</v>
      </c>
      <c r="G788" s="7" t="s">
        <v>3981</v>
      </c>
      <c r="H788" s="7" t="s">
        <v>0</v>
      </c>
      <c r="I788" s="7" t="s">
        <v>3982</v>
      </c>
      <c r="J788" s="7" t="s">
        <v>3983</v>
      </c>
      <c r="K788" s="7" t="s">
        <v>68</v>
      </c>
      <c r="L788" s="7" t="s">
        <v>2436</v>
      </c>
      <c r="M788" s="7">
        <v>10</v>
      </c>
      <c r="N788" s="7">
        <v>28</v>
      </c>
      <c r="O788" s="7" t="s">
        <v>42</v>
      </c>
      <c r="P788" s="7" t="s">
        <v>43</v>
      </c>
      <c r="Q788" s="7">
        <v>0</v>
      </c>
      <c r="R788" s="7">
        <v>0</v>
      </c>
      <c r="S788" s="7">
        <v>0</v>
      </c>
      <c r="T788" s="7">
        <v>0</v>
      </c>
      <c r="U788" s="7">
        <v>15</v>
      </c>
      <c r="V788" s="7" t="s">
        <v>3984</v>
      </c>
      <c r="W788" s="7">
        <v>1</v>
      </c>
      <c r="X788" s="7">
        <v>14</v>
      </c>
      <c r="Y788" s="7">
        <v>8</v>
      </c>
      <c r="Z788" s="7">
        <v>5</v>
      </c>
      <c r="AA788" s="7">
        <v>0</v>
      </c>
      <c r="AB788" s="7">
        <v>0</v>
      </c>
      <c r="AC788" s="7" t="s">
        <v>0</v>
      </c>
      <c r="AD788" s="7">
        <v>2</v>
      </c>
      <c r="AE788" s="7" t="s">
        <v>45</v>
      </c>
    </row>
    <row r="789" spans="1:31" ht="76.5" x14ac:dyDescent="0.2">
      <c r="A789" s="8" t="str">
        <f>HYPERLINK("http://www.patentics.cn/invokexml.do?sx=showpatent_cn&amp;sf=ShowPatent&amp;spn=US8639184&amp;sx=showpatent_cn&amp;sv=e6ef6354cfde72d2e9004820f22c349f","US8639184")</f>
        <v>US8639184</v>
      </c>
      <c r="B789" s="9" t="s">
        <v>3985</v>
      </c>
      <c r="C789" s="9" t="s">
        <v>3986</v>
      </c>
      <c r="D789" s="9" t="s">
        <v>48</v>
      </c>
      <c r="E789" s="9" t="s">
        <v>49</v>
      </c>
      <c r="F789" s="9" t="s">
        <v>3987</v>
      </c>
      <c r="G789" s="9" t="s">
        <v>3988</v>
      </c>
      <c r="H789" s="9" t="s">
        <v>547</v>
      </c>
      <c r="I789" s="9" t="s">
        <v>690</v>
      </c>
      <c r="J789" s="9" t="s">
        <v>3989</v>
      </c>
      <c r="K789" s="9" t="s">
        <v>89</v>
      </c>
      <c r="L789" s="9" t="s">
        <v>548</v>
      </c>
      <c r="M789" s="9">
        <v>26</v>
      </c>
      <c r="N789" s="9">
        <v>11</v>
      </c>
      <c r="O789" s="9" t="s">
        <v>57</v>
      </c>
      <c r="P789" s="9" t="s">
        <v>58</v>
      </c>
      <c r="Q789" s="9">
        <v>29</v>
      </c>
      <c r="R789" s="9">
        <v>0</v>
      </c>
      <c r="S789" s="9">
        <v>29</v>
      </c>
      <c r="T789" s="9">
        <v>22</v>
      </c>
      <c r="U789" s="9">
        <v>1</v>
      </c>
      <c r="V789" s="9" t="s">
        <v>264</v>
      </c>
      <c r="W789" s="9">
        <v>0</v>
      </c>
      <c r="X789" s="9">
        <v>1</v>
      </c>
      <c r="Y789" s="9">
        <v>1</v>
      </c>
      <c r="Z789" s="9">
        <v>1</v>
      </c>
      <c r="AA789" s="9">
        <v>9</v>
      </c>
      <c r="AB789" s="9">
        <v>6</v>
      </c>
      <c r="AC789" s="9">
        <v>14</v>
      </c>
      <c r="AD789" s="9" t="s">
        <v>0</v>
      </c>
      <c r="AE789" s="9" t="s">
        <v>60</v>
      </c>
    </row>
    <row r="790" spans="1:31" ht="51" x14ac:dyDescent="0.2">
      <c r="A790" s="8" t="str">
        <f>HYPERLINK("http://www.patentics.cn/invokexml.do?sx=showpatent_cn&amp;sf=ShowPatent&amp;spn=CN102204398B&amp;sx=showpatent_cn&amp;sv=4867ee0decee6275c96b4aed11f59a83","CN102204398B")</f>
        <v>CN102204398B</v>
      </c>
      <c r="B790" s="9" t="s">
        <v>3990</v>
      </c>
      <c r="C790" s="9" t="s">
        <v>3991</v>
      </c>
      <c r="D790" s="9" t="s">
        <v>301</v>
      </c>
      <c r="E790" s="9" t="s">
        <v>301</v>
      </c>
      <c r="F790" s="9" t="s">
        <v>3992</v>
      </c>
      <c r="G790" s="9" t="s">
        <v>3993</v>
      </c>
      <c r="H790" s="9" t="s">
        <v>547</v>
      </c>
      <c r="I790" s="9" t="s">
        <v>1007</v>
      </c>
      <c r="J790" s="9" t="s">
        <v>3994</v>
      </c>
      <c r="K790" s="9" t="s">
        <v>55</v>
      </c>
      <c r="L790" s="9" t="s">
        <v>3995</v>
      </c>
      <c r="M790" s="9">
        <v>23</v>
      </c>
      <c r="N790" s="9">
        <v>19</v>
      </c>
      <c r="O790" s="9" t="s">
        <v>57</v>
      </c>
      <c r="P790" s="9" t="s">
        <v>58</v>
      </c>
      <c r="Q790" s="9">
        <v>6</v>
      </c>
      <c r="R790" s="9">
        <v>0</v>
      </c>
      <c r="S790" s="9">
        <v>6</v>
      </c>
      <c r="T790" s="9">
        <v>6</v>
      </c>
      <c r="U790" s="9">
        <v>0</v>
      </c>
      <c r="V790" s="9" t="s">
        <v>114</v>
      </c>
      <c r="W790" s="9">
        <v>0</v>
      </c>
      <c r="X790" s="9">
        <v>0</v>
      </c>
      <c r="Y790" s="9">
        <v>0</v>
      </c>
      <c r="Z790" s="9">
        <v>0</v>
      </c>
      <c r="AA790" s="9">
        <v>9</v>
      </c>
      <c r="AB790" s="9">
        <v>6</v>
      </c>
      <c r="AC790" s="9">
        <v>14</v>
      </c>
      <c r="AD790" s="9" t="s">
        <v>0</v>
      </c>
      <c r="AE790" s="9" t="s">
        <v>60</v>
      </c>
    </row>
    <row r="791" spans="1:31" ht="76.5" x14ac:dyDescent="0.2">
      <c r="A791" s="6" t="str">
        <f>HYPERLINK("http://www.patentics.cn/invokexml.do?sx=showpatent_cn&amp;sf=ShowPatent&amp;spn=CN101217252&amp;sx=showpatent_cn&amp;sv=0b8d2e39b4faa1bc2937f4d6a3019ff7","CN101217252")</f>
        <v>CN101217252</v>
      </c>
      <c r="B791" s="7" t="s">
        <v>3996</v>
      </c>
      <c r="C791" s="7" t="s">
        <v>3997</v>
      </c>
      <c r="D791" s="7" t="s">
        <v>432</v>
      </c>
      <c r="E791" s="7" t="s">
        <v>432</v>
      </c>
      <c r="F791" s="7" t="s">
        <v>3998</v>
      </c>
      <c r="G791" s="7" t="s">
        <v>3999</v>
      </c>
      <c r="H791" s="7" t="s">
        <v>2712</v>
      </c>
      <c r="I791" s="7" t="s">
        <v>2712</v>
      </c>
      <c r="J791" s="7" t="s">
        <v>4000</v>
      </c>
      <c r="K791" s="7" t="s">
        <v>3123</v>
      </c>
      <c r="L791" s="7" t="s">
        <v>4001</v>
      </c>
      <c r="M791" s="7">
        <v>4</v>
      </c>
      <c r="N791" s="7">
        <v>37</v>
      </c>
      <c r="O791" s="7" t="s">
        <v>42</v>
      </c>
      <c r="P791" s="7" t="s">
        <v>43</v>
      </c>
      <c r="Q791" s="7">
        <v>0</v>
      </c>
      <c r="R791" s="7">
        <v>0</v>
      </c>
      <c r="S791" s="7">
        <v>0</v>
      </c>
      <c r="T791" s="7">
        <v>0</v>
      </c>
      <c r="U791" s="7">
        <v>14</v>
      </c>
      <c r="V791" s="7" t="s">
        <v>4002</v>
      </c>
      <c r="W791" s="7">
        <v>0</v>
      </c>
      <c r="X791" s="7">
        <v>14</v>
      </c>
      <c r="Y791" s="7">
        <v>11</v>
      </c>
      <c r="Z791" s="7">
        <v>3</v>
      </c>
      <c r="AA791" s="7">
        <v>1</v>
      </c>
      <c r="AB791" s="7">
        <v>1</v>
      </c>
      <c r="AC791" s="7" t="s">
        <v>0</v>
      </c>
      <c r="AD791" s="7">
        <v>2</v>
      </c>
      <c r="AE791" s="7" t="s">
        <v>532</v>
      </c>
    </row>
    <row r="792" spans="1:31" ht="25.5" x14ac:dyDescent="0.2">
      <c r="A792" s="8" t="str">
        <f>HYPERLINK("http://www.patentics.cn/invokexml.do?sx=showpatent_cn&amp;sf=ShowPatent&amp;spn=CN102474246B&amp;sx=showpatent_cn&amp;sv=c032c28e9c1934974ee1688c776deda7","CN102474246B")</f>
        <v>CN102474246B</v>
      </c>
      <c r="B792" s="9" t="s">
        <v>4003</v>
      </c>
      <c r="C792" s="9" t="s">
        <v>4004</v>
      </c>
      <c r="D792" s="9" t="s">
        <v>301</v>
      </c>
      <c r="E792" s="9" t="s">
        <v>301</v>
      </c>
      <c r="F792" s="9" t="s">
        <v>4005</v>
      </c>
      <c r="G792" s="9" t="s">
        <v>4005</v>
      </c>
      <c r="H792" s="9" t="s">
        <v>2660</v>
      </c>
      <c r="I792" s="9" t="s">
        <v>2540</v>
      </c>
      <c r="J792" s="9" t="s">
        <v>1824</v>
      </c>
      <c r="K792" s="9" t="s">
        <v>368</v>
      </c>
      <c r="L792" s="9" t="s">
        <v>4006</v>
      </c>
      <c r="M792" s="9">
        <v>31</v>
      </c>
      <c r="N792" s="9">
        <v>16</v>
      </c>
      <c r="O792" s="9" t="s">
        <v>57</v>
      </c>
      <c r="P792" s="9" t="s">
        <v>58</v>
      </c>
      <c r="Q792" s="9">
        <v>3</v>
      </c>
      <c r="R792" s="9">
        <v>0</v>
      </c>
      <c r="S792" s="9">
        <v>3</v>
      </c>
      <c r="T792" s="9">
        <v>3</v>
      </c>
      <c r="U792" s="9">
        <v>0</v>
      </c>
      <c r="V792" s="9" t="s">
        <v>114</v>
      </c>
      <c r="W792" s="9">
        <v>0</v>
      </c>
      <c r="X792" s="9">
        <v>0</v>
      </c>
      <c r="Y792" s="9">
        <v>0</v>
      </c>
      <c r="Z792" s="9">
        <v>0</v>
      </c>
      <c r="AA792" s="9">
        <v>8</v>
      </c>
      <c r="AB792" s="9">
        <v>6</v>
      </c>
      <c r="AC792" s="9">
        <v>14</v>
      </c>
      <c r="AD792" s="9" t="s">
        <v>0</v>
      </c>
      <c r="AE792" s="9" t="s">
        <v>60</v>
      </c>
    </row>
    <row r="793" spans="1:31" ht="25.5" x14ac:dyDescent="0.2">
      <c r="A793" s="8" t="str">
        <f>HYPERLINK("http://www.patentics.cn/invokexml.do?sx=showpatent_cn&amp;sf=ShowPatent&amp;spn=CN102474246&amp;sx=showpatent_cn&amp;sv=e7c1e3369c37e923b4da3b5e8ac29abb","CN102474246")</f>
        <v>CN102474246</v>
      </c>
      <c r="B793" s="9" t="s">
        <v>4003</v>
      </c>
      <c r="C793" s="9" t="s">
        <v>4004</v>
      </c>
      <c r="D793" s="9" t="s">
        <v>301</v>
      </c>
      <c r="E793" s="9" t="s">
        <v>301</v>
      </c>
      <c r="F793" s="9" t="s">
        <v>4005</v>
      </c>
      <c r="G793" s="9" t="s">
        <v>4005</v>
      </c>
      <c r="H793" s="9" t="s">
        <v>2660</v>
      </c>
      <c r="I793" s="9" t="s">
        <v>2540</v>
      </c>
      <c r="J793" s="9" t="s">
        <v>429</v>
      </c>
      <c r="K793" s="9" t="s">
        <v>368</v>
      </c>
      <c r="L793" s="9" t="s">
        <v>4006</v>
      </c>
      <c r="M793" s="9">
        <v>31</v>
      </c>
      <c r="N793" s="9">
        <v>11</v>
      </c>
      <c r="O793" s="9" t="s">
        <v>42</v>
      </c>
      <c r="P793" s="9" t="s">
        <v>58</v>
      </c>
      <c r="Q793" s="9">
        <v>4</v>
      </c>
      <c r="R793" s="9">
        <v>0</v>
      </c>
      <c r="S793" s="9">
        <v>4</v>
      </c>
      <c r="T793" s="9">
        <v>3</v>
      </c>
      <c r="U793" s="9">
        <v>0</v>
      </c>
      <c r="V793" s="9" t="s">
        <v>114</v>
      </c>
      <c r="W793" s="9">
        <v>0</v>
      </c>
      <c r="X793" s="9">
        <v>0</v>
      </c>
      <c r="Y793" s="9">
        <v>0</v>
      </c>
      <c r="Z793" s="9">
        <v>0</v>
      </c>
      <c r="AA793" s="9">
        <v>8</v>
      </c>
      <c r="AB793" s="9">
        <v>6</v>
      </c>
      <c r="AC793" s="9">
        <v>14</v>
      </c>
      <c r="AD793" s="9" t="s">
        <v>0</v>
      </c>
      <c r="AE793" s="9" t="s">
        <v>60</v>
      </c>
    </row>
    <row r="794" spans="1:31" ht="25.5" x14ac:dyDescent="0.2">
      <c r="A794" s="6" t="str">
        <f>HYPERLINK("http://www.patentics.cn/invokexml.do?sx=showpatent_cn&amp;sf=ShowPatent&amp;spn=CN101216941&amp;sx=showpatent_cn&amp;sv=0f61e640921aacb3cc554c6267a6c4c8","CN101216941")</f>
        <v>CN101216941</v>
      </c>
      <c r="B794" s="7" t="s">
        <v>4007</v>
      </c>
      <c r="C794" s="7" t="s">
        <v>4008</v>
      </c>
      <c r="D794" s="7" t="s">
        <v>1341</v>
      </c>
      <c r="E794" s="7" t="s">
        <v>1341</v>
      </c>
      <c r="F794" s="7" t="s">
        <v>4009</v>
      </c>
      <c r="G794" s="7" t="s">
        <v>4010</v>
      </c>
      <c r="H794" s="7" t="s">
        <v>4011</v>
      </c>
      <c r="I794" s="7" t="s">
        <v>4011</v>
      </c>
      <c r="J794" s="7" t="s">
        <v>4000</v>
      </c>
      <c r="K794" s="7" t="s">
        <v>2163</v>
      </c>
      <c r="L794" s="7" t="s">
        <v>3162</v>
      </c>
      <c r="M794" s="7">
        <v>5</v>
      </c>
      <c r="N794" s="7">
        <v>25</v>
      </c>
      <c r="O794" s="7" t="s">
        <v>42</v>
      </c>
      <c r="P794" s="7" t="s">
        <v>43</v>
      </c>
      <c r="Q794" s="7">
        <v>0</v>
      </c>
      <c r="R794" s="7">
        <v>0</v>
      </c>
      <c r="S794" s="7">
        <v>0</v>
      </c>
      <c r="T794" s="7">
        <v>0</v>
      </c>
      <c r="U794" s="7">
        <v>18</v>
      </c>
      <c r="V794" s="7" t="s">
        <v>4012</v>
      </c>
      <c r="W794" s="7">
        <v>2</v>
      </c>
      <c r="X794" s="7">
        <v>16</v>
      </c>
      <c r="Y794" s="7">
        <v>12</v>
      </c>
      <c r="Z794" s="7">
        <v>3</v>
      </c>
      <c r="AA794" s="7">
        <v>1</v>
      </c>
      <c r="AB794" s="7">
        <v>1</v>
      </c>
      <c r="AC794" s="7" t="s">
        <v>0</v>
      </c>
      <c r="AD794" s="7">
        <v>2</v>
      </c>
      <c r="AE794" s="7" t="s">
        <v>532</v>
      </c>
    </row>
    <row r="795" spans="1:31" ht="63.75" x14ac:dyDescent="0.2">
      <c r="A795" s="8" t="str">
        <f>HYPERLINK("http://www.patentics.cn/invokexml.do?sx=showpatent_cn&amp;sf=ShowPatent&amp;spn=US9323988&amp;sx=showpatent_cn&amp;sv=67e6e64f99d5e11e0a9b74986be587aa","US9323988")</f>
        <v>US9323988</v>
      </c>
      <c r="B795" s="9" t="s">
        <v>4013</v>
      </c>
      <c r="C795" s="9" t="s">
        <v>4014</v>
      </c>
      <c r="D795" s="9" t="s">
        <v>48</v>
      </c>
      <c r="E795" s="9" t="s">
        <v>49</v>
      </c>
      <c r="F795" s="9" t="s">
        <v>4015</v>
      </c>
      <c r="G795" s="9" t="s">
        <v>4016</v>
      </c>
      <c r="H795" s="9" t="s">
        <v>4017</v>
      </c>
      <c r="I795" s="9" t="s">
        <v>2105</v>
      </c>
      <c r="J795" s="9" t="s">
        <v>4018</v>
      </c>
      <c r="K795" s="9" t="s">
        <v>529</v>
      </c>
      <c r="L795" s="9" t="s">
        <v>1424</v>
      </c>
      <c r="M795" s="9">
        <v>30</v>
      </c>
      <c r="N795" s="9">
        <v>10</v>
      </c>
      <c r="O795" s="9" t="s">
        <v>57</v>
      </c>
      <c r="P795" s="9" t="s">
        <v>58</v>
      </c>
      <c r="Q795" s="9">
        <v>16</v>
      </c>
      <c r="R795" s="9">
        <v>4</v>
      </c>
      <c r="S795" s="9">
        <v>12</v>
      </c>
      <c r="T795" s="9">
        <v>10</v>
      </c>
      <c r="U795" s="9">
        <v>0</v>
      </c>
      <c r="V795" s="9" t="s">
        <v>114</v>
      </c>
      <c r="W795" s="9">
        <v>0</v>
      </c>
      <c r="X795" s="9">
        <v>0</v>
      </c>
      <c r="Y795" s="9">
        <v>0</v>
      </c>
      <c r="Z795" s="9">
        <v>0</v>
      </c>
      <c r="AA795" s="9">
        <v>13</v>
      </c>
      <c r="AB795" s="9">
        <v>6</v>
      </c>
      <c r="AC795" s="9">
        <v>14</v>
      </c>
      <c r="AD795" s="9" t="s">
        <v>0</v>
      </c>
      <c r="AE795" s="9" t="s">
        <v>60</v>
      </c>
    </row>
    <row r="796" spans="1:31" ht="25.5" x14ac:dyDescent="0.2">
      <c r="A796" s="8" t="str">
        <f>HYPERLINK("http://www.patentics.cn/invokexml.do?sx=showpatent_cn&amp;sf=ShowPatent&amp;spn=CN103649999B&amp;sx=showpatent_cn&amp;sv=a8104c46955df1fdf4e405963411fe5e","CN103649999B")</f>
        <v>CN103649999B</v>
      </c>
      <c r="B796" s="9" t="s">
        <v>4019</v>
      </c>
      <c r="C796" s="9" t="s">
        <v>4020</v>
      </c>
      <c r="D796" s="9" t="s">
        <v>301</v>
      </c>
      <c r="E796" s="9" t="s">
        <v>301</v>
      </c>
      <c r="F796" s="9" t="s">
        <v>4021</v>
      </c>
      <c r="G796" s="9" t="s">
        <v>4022</v>
      </c>
      <c r="H796" s="9" t="s">
        <v>4017</v>
      </c>
      <c r="I796" s="9" t="s">
        <v>4023</v>
      </c>
      <c r="J796" s="9" t="s">
        <v>4024</v>
      </c>
      <c r="K796" s="9" t="s">
        <v>2163</v>
      </c>
      <c r="L796" s="9" t="s">
        <v>2164</v>
      </c>
      <c r="M796" s="9">
        <v>22</v>
      </c>
      <c r="N796" s="9">
        <v>20</v>
      </c>
      <c r="O796" s="9" t="s">
        <v>57</v>
      </c>
      <c r="P796" s="9" t="s">
        <v>58</v>
      </c>
      <c r="Q796" s="9">
        <v>3</v>
      </c>
      <c r="R796" s="9">
        <v>0</v>
      </c>
      <c r="S796" s="9">
        <v>3</v>
      </c>
      <c r="T796" s="9">
        <v>2</v>
      </c>
      <c r="U796" s="9">
        <v>0</v>
      </c>
      <c r="V796" s="9" t="s">
        <v>114</v>
      </c>
      <c r="W796" s="9">
        <v>0</v>
      </c>
      <c r="X796" s="9">
        <v>0</v>
      </c>
      <c r="Y796" s="9">
        <v>0</v>
      </c>
      <c r="Z796" s="9">
        <v>0</v>
      </c>
      <c r="AA796" s="9">
        <v>13</v>
      </c>
      <c r="AB796" s="9">
        <v>6</v>
      </c>
      <c r="AC796" s="9">
        <v>14</v>
      </c>
      <c r="AD796" s="9" t="s">
        <v>0</v>
      </c>
      <c r="AE796" s="9" t="s">
        <v>60</v>
      </c>
    </row>
    <row r="797" spans="1:31" ht="51" x14ac:dyDescent="0.2">
      <c r="A797" s="6" t="str">
        <f>HYPERLINK("http://www.patentics.cn/invokexml.do?sx=showpatent_cn&amp;sf=ShowPatent&amp;spn=CN101217459&amp;sx=showpatent_cn&amp;sv=21556684345b8b7792e65ae9fc96d1eb","CN101217459")</f>
        <v>CN101217459</v>
      </c>
      <c r="B797" s="7" t="s">
        <v>4025</v>
      </c>
      <c r="C797" s="7" t="s">
        <v>4026</v>
      </c>
      <c r="D797" s="7" t="s">
        <v>432</v>
      </c>
      <c r="E797" s="7" t="s">
        <v>432</v>
      </c>
      <c r="F797" s="7" t="s">
        <v>4027</v>
      </c>
      <c r="G797" s="7" t="s">
        <v>4028</v>
      </c>
      <c r="H797" s="7" t="s">
        <v>4029</v>
      </c>
      <c r="I797" s="7" t="s">
        <v>4029</v>
      </c>
      <c r="J797" s="7" t="s">
        <v>4000</v>
      </c>
      <c r="K797" s="7" t="s">
        <v>68</v>
      </c>
      <c r="L797" s="7" t="s">
        <v>1946</v>
      </c>
      <c r="M797" s="7">
        <v>9</v>
      </c>
      <c r="N797" s="7">
        <v>8</v>
      </c>
      <c r="O797" s="7" t="s">
        <v>42</v>
      </c>
      <c r="P797" s="7" t="s">
        <v>43</v>
      </c>
      <c r="Q797" s="7">
        <v>0</v>
      </c>
      <c r="R797" s="7">
        <v>0</v>
      </c>
      <c r="S797" s="7">
        <v>0</v>
      </c>
      <c r="T797" s="7">
        <v>0</v>
      </c>
      <c r="U797" s="7">
        <v>8</v>
      </c>
      <c r="V797" s="7" t="s">
        <v>4030</v>
      </c>
      <c r="W797" s="7">
        <v>0</v>
      </c>
      <c r="X797" s="7">
        <v>8</v>
      </c>
      <c r="Y797" s="7">
        <v>5</v>
      </c>
      <c r="Z797" s="7">
        <v>2</v>
      </c>
      <c r="AA797" s="7">
        <v>1</v>
      </c>
      <c r="AB797" s="7">
        <v>1</v>
      </c>
      <c r="AC797" s="7" t="s">
        <v>0</v>
      </c>
      <c r="AD797" s="7">
        <v>2</v>
      </c>
      <c r="AE797" s="7" t="s">
        <v>60</v>
      </c>
    </row>
    <row r="798" spans="1:31" ht="25.5" x14ac:dyDescent="0.2">
      <c r="A798" s="8" t="str">
        <f>HYPERLINK("http://www.patentics.cn/invokexml.do?sx=showpatent_cn&amp;sf=ShowPatent&amp;spn=CN102447979B&amp;sx=showpatent_cn&amp;sv=322f76654b912c65349d96aee73343db","CN102447979B")</f>
        <v>CN102447979B</v>
      </c>
      <c r="B798" s="9" t="s">
        <v>4031</v>
      </c>
      <c r="C798" s="9" t="s">
        <v>4032</v>
      </c>
      <c r="D798" s="9" t="s">
        <v>4033</v>
      </c>
      <c r="E798" s="9" t="s">
        <v>301</v>
      </c>
      <c r="F798" s="9" t="s">
        <v>4034</v>
      </c>
      <c r="G798" s="9" t="s">
        <v>4035</v>
      </c>
      <c r="H798" s="9" t="s">
        <v>0</v>
      </c>
      <c r="I798" s="9" t="s">
        <v>3558</v>
      </c>
      <c r="J798" s="9" t="s">
        <v>4036</v>
      </c>
      <c r="K798" s="9" t="s">
        <v>96</v>
      </c>
      <c r="L798" s="9" t="s">
        <v>4037</v>
      </c>
      <c r="M798" s="9">
        <v>4</v>
      </c>
      <c r="N798" s="9">
        <v>20</v>
      </c>
      <c r="O798" s="9" t="s">
        <v>57</v>
      </c>
      <c r="P798" s="9" t="s">
        <v>43</v>
      </c>
      <c r="Q798" s="9">
        <v>2</v>
      </c>
      <c r="R798" s="9">
        <v>0</v>
      </c>
      <c r="S798" s="9">
        <v>2</v>
      </c>
      <c r="T798" s="9">
        <v>2</v>
      </c>
      <c r="U798" s="9">
        <v>0</v>
      </c>
      <c r="V798" s="9" t="s">
        <v>114</v>
      </c>
      <c r="W798" s="9">
        <v>0</v>
      </c>
      <c r="X798" s="9">
        <v>0</v>
      </c>
      <c r="Y798" s="9">
        <v>0</v>
      </c>
      <c r="Z798" s="9">
        <v>0</v>
      </c>
      <c r="AA798" s="9">
        <v>0</v>
      </c>
      <c r="AB798" s="9">
        <v>0</v>
      </c>
      <c r="AC798" s="9">
        <v>14</v>
      </c>
      <c r="AD798" s="9" t="s">
        <v>0</v>
      </c>
      <c r="AE798" s="9" t="s">
        <v>60</v>
      </c>
    </row>
    <row r="799" spans="1:31" ht="25.5" x14ac:dyDescent="0.2">
      <c r="A799" s="8" t="str">
        <f>HYPERLINK("http://www.patentics.cn/invokexml.do?sx=showpatent_cn&amp;sf=ShowPatent&amp;spn=CN102447979&amp;sx=showpatent_cn&amp;sv=377765912e6058f0231be86166b59e26","CN102447979")</f>
        <v>CN102447979</v>
      </c>
      <c r="B799" s="9" t="s">
        <v>4031</v>
      </c>
      <c r="C799" s="9" t="s">
        <v>4032</v>
      </c>
      <c r="D799" s="9" t="s">
        <v>4033</v>
      </c>
      <c r="E799" s="9" t="s">
        <v>301</v>
      </c>
      <c r="F799" s="9" t="s">
        <v>4034</v>
      </c>
      <c r="G799" s="9" t="s">
        <v>4035</v>
      </c>
      <c r="H799" s="9" t="s">
        <v>0</v>
      </c>
      <c r="I799" s="9" t="s">
        <v>3558</v>
      </c>
      <c r="J799" s="9" t="s">
        <v>2650</v>
      </c>
      <c r="K799" s="9" t="s">
        <v>96</v>
      </c>
      <c r="L799" s="9" t="s">
        <v>4037</v>
      </c>
      <c r="M799" s="9">
        <v>4</v>
      </c>
      <c r="N799" s="9">
        <v>8</v>
      </c>
      <c r="O799" s="9" t="s">
        <v>42</v>
      </c>
      <c r="P799" s="9" t="s">
        <v>43</v>
      </c>
      <c r="Q799" s="9">
        <v>4</v>
      </c>
      <c r="R799" s="9">
        <v>0</v>
      </c>
      <c r="S799" s="9">
        <v>4</v>
      </c>
      <c r="T799" s="9">
        <v>4</v>
      </c>
      <c r="U799" s="9">
        <v>0</v>
      </c>
      <c r="V799" s="9" t="s">
        <v>114</v>
      </c>
      <c r="W799" s="9">
        <v>0</v>
      </c>
      <c r="X799" s="9">
        <v>0</v>
      </c>
      <c r="Y799" s="9">
        <v>0</v>
      </c>
      <c r="Z799" s="9">
        <v>0</v>
      </c>
      <c r="AA799" s="9">
        <v>0</v>
      </c>
      <c r="AB799" s="9">
        <v>0</v>
      </c>
      <c r="AC799" s="9">
        <v>14</v>
      </c>
      <c r="AD799" s="9" t="s">
        <v>0</v>
      </c>
      <c r="AE799" s="9" t="s">
        <v>60</v>
      </c>
    </row>
    <row r="800" spans="1:31" ht="38.25" x14ac:dyDescent="0.2">
      <c r="A800" s="6" t="str">
        <f>HYPERLINK("http://www.patentics.cn/invokexml.do?sx=showpatent_cn&amp;sf=ShowPatent&amp;spn=CN101185264&amp;sx=showpatent_cn&amp;sv=555eb729c87f982a855017d869a9c101","CN101185264")</f>
        <v>CN101185264</v>
      </c>
      <c r="B800" s="7" t="s">
        <v>4038</v>
      </c>
      <c r="C800" s="7" t="s">
        <v>4039</v>
      </c>
      <c r="D800" s="7" t="s">
        <v>4040</v>
      </c>
      <c r="E800" s="7" t="s">
        <v>4040</v>
      </c>
      <c r="F800" s="7" t="s">
        <v>4041</v>
      </c>
      <c r="G800" s="7" t="s">
        <v>4042</v>
      </c>
      <c r="H800" s="7" t="s">
        <v>4043</v>
      </c>
      <c r="I800" s="7" t="s">
        <v>4044</v>
      </c>
      <c r="J800" s="7" t="s">
        <v>1522</v>
      </c>
      <c r="K800" s="7" t="s">
        <v>89</v>
      </c>
      <c r="L800" s="7" t="s">
        <v>2702</v>
      </c>
      <c r="M800" s="7">
        <v>5</v>
      </c>
      <c r="N800" s="7">
        <v>32</v>
      </c>
      <c r="O800" s="7" t="s">
        <v>42</v>
      </c>
      <c r="P800" s="7" t="s">
        <v>341</v>
      </c>
      <c r="Q800" s="7">
        <v>0</v>
      </c>
      <c r="R800" s="7">
        <v>0</v>
      </c>
      <c r="S800" s="7">
        <v>0</v>
      </c>
      <c r="T800" s="7">
        <v>0</v>
      </c>
      <c r="U800" s="7">
        <v>2</v>
      </c>
      <c r="V800" s="7" t="s">
        <v>370</v>
      </c>
      <c r="W800" s="7">
        <v>0</v>
      </c>
      <c r="X800" s="7">
        <v>2</v>
      </c>
      <c r="Y800" s="7">
        <v>1</v>
      </c>
      <c r="Z800" s="7">
        <v>2</v>
      </c>
      <c r="AA800" s="7">
        <v>14</v>
      </c>
      <c r="AB800" s="7">
        <v>9</v>
      </c>
      <c r="AC800" s="7" t="s">
        <v>0</v>
      </c>
      <c r="AD800" s="7">
        <v>2</v>
      </c>
      <c r="AE800" s="7" t="s">
        <v>1390</v>
      </c>
    </row>
    <row r="801" spans="1:31" ht="89.25" x14ac:dyDescent="0.2">
      <c r="A801" s="8" t="str">
        <f>HYPERLINK("http://www.patentics.cn/invokexml.do?sx=showpatent_cn&amp;sf=ShowPatent&amp;spn=US9445334&amp;sx=showpatent_cn&amp;sv=118aedc94348eb28c40dfa76150b65fc","US9445334")</f>
        <v>US9445334</v>
      </c>
      <c r="B801" s="9" t="s">
        <v>4045</v>
      </c>
      <c r="C801" s="9" t="s">
        <v>4046</v>
      </c>
      <c r="D801" s="9" t="s">
        <v>48</v>
      </c>
      <c r="E801" s="9" t="s">
        <v>49</v>
      </c>
      <c r="F801" s="9" t="s">
        <v>4047</v>
      </c>
      <c r="G801" s="9" t="s">
        <v>1258</v>
      </c>
      <c r="H801" s="9" t="s">
        <v>3788</v>
      </c>
      <c r="I801" s="9" t="s">
        <v>1635</v>
      </c>
      <c r="J801" s="9" t="s">
        <v>914</v>
      </c>
      <c r="K801" s="9" t="s">
        <v>55</v>
      </c>
      <c r="L801" s="9" t="s">
        <v>150</v>
      </c>
      <c r="M801" s="9">
        <v>63</v>
      </c>
      <c r="N801" s="9">
        <v>19</v>
      </c>
      <c r="O801" s="9" t="s">
        <v>57</v>
      </c>
      <c r="P801" s="9" t="s">
        <v>58</v>
      </c>
      <c r="Q801" s="9">
        <v>36</v>
      </c>
      <c r="R801" s="9">
        <v>4</v>
      </c>
      <c r="S801" s="9">
        <v>32</v>
      </c>
      <c r="T801" s="9">
        <v>18</v>
      </c>
      <c r="U801" s="9">
        <v>0</v>
      </c>
      <c r="V801" s="9" t="s">
        <v>114</v>
      </c>
      <c r="W801" s="9">
        <v>0</v>
      </c>
      <c r="X801" s="9">
        <v>0</v>
      </c>
      <c r="Y801" s="9">
        <v>0</v>
      </c>
      <c r="Z801" s="9">
        <v>0</v>
      </c>
      <c r="AA801" s="9">
        <v>12</v>
      </c>
      <c r="AB801" s="9">
        <v>6</v>
      </c>
      <c r="AC801" s="9">
        <v>14</v>
      </c>
      <c r="AD801" s="9" t="s">
        <v>0</v>
      </c>
      <c r="AE801" s="9" t="s">
        <v>60</v>
      </c>
    </row>
    <row r="802" spans="1:31" ht="51" x14ac:dyDescent="0.2">
      <c r="A802" s="8" t="str">
        <f>HYPERLINK("http://www.patentics.cn/invokexml.do?sx=showpatent_cn&amp;sf=ShowPatent&amp;spn=CN103583065B&amp;sx=showpatent_cn&amp;sv=b8fe9464e6252781e3c1aed7bc518027","CN103583065B")</f>
        <v>CN103583065B</v>
      </c>
      <c r="B802" s="9" t="s">
        <v>4048</v>
      </c>
      <c r="C802" s="9" t="s">
        <v>4049</v>
      </c>
      <c r="D802" s="9" t="s">
        <v>301</v>
      </c>
      <c r="E802" s="9" t="s">
        <v>301</v>
      </c>
      <c r="F802" s="9" t="s">
        <v>4050</v>
      </c>
      <c r="G802" s="9" t="s">
        <v>4051</v>
      </c>
      <c r="H802" s="9" t="s">
        <v>3788</v>
      </c>
      <c r="I802" s="9" t="s">
        <v>2118</v>
      </c>
      <c r="J802" s="9" t="s">
        <v>4052</v>
      </c>
      <c r="K802" s="9" t="s">
        <v>55</v>
      </c>
      <c r="L802" s="9" t="s">
        <v>4053</v>
      </c>
      <c r="M802" s="9">
        <v>44</v>
      </c>
      <c r="N802" s="9">
        <v>24</v>
      </c>
      <c r="O802" s="9" t="s">
        <v>57</v>
      </c>
      <c r="P802" s="9" t="s">
        <v>58</v>
      </c>
      <c r="Q802" s="9">
        <v>5</v>
      </c>
      <c r="R802" s="9">
        <v>1</v>
      </c>
      <c r="S802" s="9">
        <v>4</v>
      </c>
      <c r="T802" s="9">
        <v>4</v>
      </c>
      <c r="U802" s="9">
        <v>0</v>
      </c>
      <c r="V802" s="9" t="s">
        <v>114</v>
      </c>
      <c r="W802" s="9">
        <v>0</v>
      </c>
      <c r="X802" s="9">
        <v>0</v>
      </c>
      <c r="Y802" s="9">
        <v>0</v>
      </c>
      <c r="Z802" s="9">
        <v>0</v>
      </c>
      <c r="AA802" s="9">
        <v>12</v>
      </c>
      <c r="AB802" s="9">
        <v>6</v>
      </c>
      <c r="AC802" s="9">
        <v>14</v>
      </c>
      <c r="AD802" s="9" t="s">
        <v>0</v>
      </c>
      <c r="AE802" s="9" t="s">
        <v>60</v>
      </c>
    </row>
    <row r="803" spans="1:31" ht="76.5" x14ac:dyDescent="0.2">
      <c r="A803" s="6" t="str">
        <f>HYPERLINK("http://www.patentics.cn/invokexml.do?sx=showpatent_cn&amp;sf=ShowPatent&amp;spn=CN101179466&amp;sx=showpatent_cn&amp;sv=17a28e9174cdea923633b551e1919cc6","CN101179466")</f>
        <v>CN101179466</v>
      </c>
      <c r="B803" s="7" t="s">
        <v>4054</v>
      </c>
      <c r="C803" s="7" t="s">
        <v>4055</v>
      </c>
      <c r="D803" s="7" t="s">
        <v>4056</v>
      </c>
      <c r="E803" s="7" t="s">
        <v>4056</v>
      </c>
      <c r="F803" s="7" t="s">
        <v>4057</v>
      </c>
      <c r="G803" s="7" t="s">
        <v>4058</v>
      </c>
      <c r="H803" s="7" t="s">
        <v>1057</v>
      </c>
      <c r="I803" s="7" t="s">
        <v>1057</v>
      </c>
      <c r="J803" s="7" t="s">
        <v>4059</v>
      </c>
      <c r="K803" s="7" t="s">
        <v>68</v>
      </c>
      <c r="L803" s="7" t="s">
        <v>4060</v>
      </c>
      <c r="M803" s="7">
        <v>12</v>
      </c>
      <c r="N803" s="7">
        <v>21</v>
      </c>
      <c r="O803" s="7" t="s">
        <v>42</v>
      </c>
      <c r="P803" s="7" t="s">
        <v>43</v>
      </c>
      <c r="Q803" s="7">
        <v>0</v>
      </c>
      <c r="R803" s="7">
        <v>0</v>
      </c>
      <c r="S803" s="7">
        <v>0</v>
      </c>
      <c r="T803" s="7">
        <v>0</v>
      </c>
      <c r="U803" s="7">
        <v>18</v>
      </c>
      <c r="V803" s="7" t="s">
        <v>4061</v>
      </c>
      <c r="W803" s="7">
        <v>3</v>
      </c>
      <c r="X803" s="7">
        <v>15</v>
      </c>
      <c r="Y803" s="7">
        <v>11</v>
      </c>
      <c r="Z803" s="7">
        <v>3</v>
      </c>
      <c r="AA803" s="7">
        <v>1</v>
      </c>
      <c r="AB803" s="7">
        <v>1</v>
      </c>
      <c r="AC803" s="7" t="s">
        <v>0</v>
      </c>
      <c r="AD803" s="7">
        <v>2</v>
      </c>
      <c r="AE803" s="7" t="s">
        <v>60</v>
      </c>
    </row>
    <row r="804" spans="1:31" ht="153" x14ac:dyDescent="0.2">
      <c r="A804" s="8" t="str">
        <f>HYPERLINK("http://www.patentics.cn/invokexml.do?sx=showpatent_cn&amp;sf=ShowPatent&amp;spn=US8996726&amp;sx=showpatent_cn&amp;sv=6e60877c9539564dc256244a14495ab8","US8996726")</f>
        <v>US8996726</v>
      </c>
      <c r="B804" s="9" t="s">
        <v>4062</v>
      </c>
      <c r="C804" s="9" t="s">
        <v>4063</v>
      </c>
      <c r="D804" s="9" t="s">
        <v>48</v>
      </c>
      <c r="E804" s="9" t="s">
        <v>49</v>
      </c>
      <c r="F804" s="9" t="s">
        <v>4064</v>
      </c>
      <c r="G804" s="9" t="s">
        <v>4065</v>
      </c>
      <c r="H804" s="9" t="s">
        <v>1270</v>
      </c>
      <c r="I804" s="9" t="s">
        <v>935</v>
      </c>
      <c r="J804" s="9" t="s">
        <v>2561</v>
      </c>
      <c r="K804" s="9" t="s">
        <v>885</v>
      </c>
      <c r="L804" s="9" t="s">
        <v>2443</v>
      </c>
      <c r="M804" s="9">
        <v>38</v>
      </c>
      <c r="N804" s="9">
        <v>11</v>
      </c>
      <c r="O804" s="9" t="s">
        <v>57</v>
      </c>
      <c r="P804" s="9" t="s">
        <v>58</v>
      </c>
      <c r="Q804" s="9">
        <v>16</v>
      </c>
      <c r="R804" s="9">
        <v>0</v>
      </c>
      <c r="S804" s="9">
        <v>16</v>
      </c>
      <c r="T804" s="9">
        <v>10</v>
      </c>
      <c r="U804" s="9">
        <v>0</v>
      </c>
      <c r="V804" s="9" t="s">
        <v>114</v>
      </c>
      <c r="W804" s="9">
        <v>0</v>
      </c>
      <c r="X804" s="9">
        <v>0</v>
      </c>
      <c r="Y804" s="9">
        <v>0</v>
      </c>
      <c r="Z804" s="9">
        <v>0</v>
      </c>
      <c r="AA804" s="9">
        <v>12</v>
      </c>
      <c r="AB804" s="9">
        <v>7</v>
      </c>
      <c r="AC804" s="9">
        <v>14</v>
      </c>
      <c r="AD804" s="9" t="s">
        <v>0</v>
      </c>
      <c r="AE804" s="9" t="s">
        <v>60</v>
      </c>
    </row>
    <row r="805" spans="1:31" ht="63.75" x14ac:dyDescent="0.2">
      <c r="A805" s="8" t="str">
        <f>HYPERLINK("http://www.patentics.cn/invokexml.do?sx=showpatent_cn&amp;sf=ShowPatent&amp;spn=CN102067564B&amp;sx=showpatent_cn&amp;sv=8b15fdf5e934667f8a7b8dd625b73e47","CN102067564B")</f>
        <v>CN102067564B</v>
      </c>
      <c r="B805" s="9" t="s">
        <v>4066</v>
      </c>
      <c r="C805" s="9" t="s">
        <v>4067</v>
      </c>
      <c r="D805" s="9" t="s">
        <v>301</v>
      </c>
      <c r="E805" s="9" t="s">
        <v>301</v>
      </c>
      <c r="F805" s="9" t="s">
        <v>4068</v>
      </c>
      <c r="G805" s="9" t="s">
        <v>4069</v>
      </c>
      <c r="H805" s="9" t="s">
        <v>1270</v>
      </c>
      <c r="I805" s="9" t="s">
        <v>4070</v>
      </c>
      <c r="J805" s="9" t="s">
        <v>4071</v>
      </c>
      <c r="K805" s="9" t="s">
        <v>68</v>
      </c>
      <c r="L805" s="9" t="s">
        <v>2436</v>
      </c>
      <c r="M805" s="9">
        <v>18</v>
      </c>
      <c r="N805" s="9">
        <v>12</v>
      </c>
      <c r="O805" s="9" t="s">
        <v>57</v>
      </c>
      <c r="P805" s="9" t="s">
        <v>58</v>
      </c>
      <c r="Q805" s="9">
        <v>3</v>
      </c>
      <c r="R805" s="9">
        <v>0</v>
      </c>
      <c r="S805" s="9">
        <v>3</v>
      </c>
      <c r="T805" s="9">
        <v>3</v>
      </c>
      <c r="U805" s="9">
        <v>0</v>
      </c>
      <c r="V805" s="9" t="s">
        <v>114</v>
      </c>
      <c r="W805" s="9">
        <v>0</v>
      </c>
      <c r="X805" s="9">
        <v>0</v>
      </c>
      <c r="Y805" s="9">
        <v>0</v>
      </c>
      <c r="Z805" s="9">
        <v>0</v>
      </c>
      <c r="AA805" s="9">
        <v>12</v>
      </c>
      <c r="AB805" s="9">
        <v>7</v>
      </c>
      <c r="AC805" s="9">
        <v>14</v>
      </c>
      <c r="AD805" s="9" t="s">
        <v>0</v>
      </c>
      <c r="AE805" s="9" t="s">
        <v>60</v>
      </c>
    </row>
    <row r="806" spans="1:31" ht="63.75" x14ac:dyDescent="0.2">
      <c r="A806" s="6" t="str">
        <f>HYPERLINK("http://www.patentics.cn/invokexml.do?sx=showpatent_cn&amp;sf=ShowPatent&amp;spn=CN101170549&amp;sx=showpatent_cn&amp;sv=c2037df6e91a877e62caf8e166441561","CN101170549")</f>
        <v>CN101170549</v>
      </c>
      <c r="B806" s="7" t="s">
        <v>4072</v>
      </c>
      <c r="C806" s="7" t="s">
        <v>4073</v>
      </c>
      <c r="D806" s="7" t="s">
        <v>1420</v>
      </c>
      <c r="E806" s="7" t="s">
        <v>1420</v>
      </c>
      <c r="F806" s="7" t="s">
        <v>4074</v>
      </c>
      <c r="G806" s="7" t="s">
        <v>4075</v>
      </c>
      <c r="H806" s="7" t="s">
        <v>0</v>
      </c>
      <c r="I806" s="7" t="s">
        <v>1395</v>
      </c>
      <c r="J806" s="7" t="s">
        <v>2435</v>
      </c>
      <c r="K806" s="7" t="s">
        <v>68</v>
      </c>
      <c r="L806" s="7" t="s">
        <v>2336</v>
      </c>
      <c r="M806" s="7">
        <v>10</v>
      </c>
      <c r="N806" s="7">
        <v>18</v>
      </c>
      <c r="O806" s="7" t="s">
        <v>42</v>
      </c>
      <c r="P806" s="7" t="s">
        <v>43</v>
      </c>
      <c r="Q806" s="7">
        <v>0</v>
      </c>
      <c r="R806" s="7">
        <v>0</v>
      </c>
      <c r="S806" s="7">
        <v>0</v>
      </c>
      <c r="T806" s="7">
        <v>0</v>
      </c>
      <c r="U806" s="7">
        <v>7</v>
      </c>
      <c r="V806" s="7" t="s">
        <v>4076</v>
      </c>
      <c r="W806" s="7">
        <v>1</v>
      </c>
      <c r="X806" s="7">
        <v>6</v>
      </c>
      <c r="Y806" s="7">
        <v>5</v>
      </c>
      <c r="Z806" s="7">
        <v>3</v>
      </c>
      <c r="AA806" s="7">
        <v>0</v>
      </c>
      <c r="AB806" s="7">
        <v>0</v>
      </c>
      <c r="AC806" s="7" t="s">
        <v>0</v>
      </c>
      <c r="AD806" s="7">
        <v>2</v>
      </c>
      <c r="AE806" s="7" t="s">
        <v>45</v>
      </c>
    </row>
    <row r="807" spans="1:31" ht="127.5" x14ac:dyDescent="0.2">
      <c r="A807" s="8" t="str">
        <f>HYPERLINK("http://www.patentics.cn/invokexml.do?sx=showpatent_cn&amp;sf=ShowPatent&amp;spn=US8547910&amp;sx=showpatent_cn&amp;sv=2ebf4cbae3d80cb6e5471160dead55b0","US8547910")</f>
        <v>US8547910</v>
      </c>
      <c r="B807" s="9" t="s">
        <v>4077</v>
      </c>
      <c r="C807" s="9" t="s">
        <v>4078</v>
      </c>
      <c r="D807" s="9" t="s">
        <v>48</v>
      </c>
      <c r="E807" s="9" t="s">
        <v>49</v>
      </c>
      <c r="F807" s="9" t="s">
        <v>4079</v>
      </c>
      <c r="G807" s="9" t="s">
        <v>4080</v>
      </c>
      <c r="H807" s="9" t="s">
        <v>4081</v>
      </c>
      <c r="I807" s="9" t="s">
        <v>4082</v>
      </c>
      <c r="J807" s="9" t="s">
        <v>81</v>
      </c>
      <c r="K807" s="9" t="s">
        <v>55</v>
      </c>
      <c r="L807" s="9" t="s">
        <v>1970</v>
      </c>
      <c r="M807" s="9">
        <v>53</v>
      </c>
      <c r="N807" s="9">
        <v>17</v>
      </c>
      <c r="O807" s="9" t="s">
        <v>57</v>
      </c>
      <c r="P807" s="9" t="s">
        <v>58</v>
      </c>
      <c r="Q807" s="9">
        <v>36</v>
      </c>
      <c r="R807" s="9">
        <v>2</v>
      </c>
      <c r="S807" s="9">
        <v>34</v>
      </c>
      <c r="T807" s="9">
        <v>18</v>
      </c>
      <c r="U807" s="9">
        <v>4</v>
      </c>
      <c r="V807" s="9" t="s">
        <v>3269</v>
      </c>
      <c r="W807" s="9">
        <v>2</v>
      </c>
      <c r="X807" s="9">
        <v>2</v>
      </c>
      <c r="Y807" s="9">
        <v>3</v>
      </c>
      <c r="Z807" s="9">
        <v>1</v>
      </c>
      <c r="AA807" s="9">
        <v>20</v>
      </c>
      <c r="AB807" s="9">
        <v>14</v>
      </c>
      <c r="AC807" s="9">
        <v>14</v>
      </c>
      <c r="AD807" s="9" t="s">
        <v>0</v>
      </c>
      <c r="AE807" s="9" t="s">
        <v>60</v>
      </c>
    </row>
    <row r="808" spans="1:31" ht="127.5" x14ac:dyDescent="0.2">
      <c r="A808" s="8" t="str">
        <f>HYPERLINK("http://www.patentics.cn/invokexml.do?sx=showpatent_cn&amp;sf=ShowPatent&amp;spn=US8774119&amp;sx=showpatent_cn&amp;sv=7e4fa8463776830c8ce489841394231f","US8774119")</f>
        <v>US8774119</v>
      </c>
      <c r="B808" s="9" t="s">
        <v>4083</v>
      </c>
      <c r="C808" s="9" t="s">
        <v>4084</v>
      </c>
      <c r="D808" s="9" t="s">
        <v>48</v>
      </c>
      <c r="E808" s="9" t="s">
        <v>49</v>
      </c>
      <c r="F808" s="9" t="s">
        <v>4085</v>
      </c>
      <c r="G808" s="9" t="s">
        <v>4080</v>
      </c>
      <c r="H808" s="9" t="s">
        <v>4081</v>
      </c>
      <c r="I808" s="9" t="s">
        <v>4086</v>
      </c>
      <c r="J808" s="9" t="s">
        <v>4087</v>
      </c>
      <c r="K808" s="9" t="s">
        <v>55</v>
      </c>
      <c r="L808" s="9" t="s">
        <v>1970</v>
      </c>
      <c r="M808" s="9">
        <v>18</v>
      </c>
      <c r="N808" s="9">
        <v>12</v>
      </c>
      <c r="O808" s="9" t="s">
        <v>57</v>
      </c>
      <c r="P808" s="9" t="s">
        <v>58</v>
      </c>
      <c r="Q808" s="9">
        <v>38</v>
      </c>
      <c r="R808" s="9">
        <v>3</v>
      </c>
      <c r="S808" s="9">
        <v>35</v>
      </c>
      <c r="T808" s="9">
        <v>19</v>
      </c>
      <c r="U808" s="9">
        <v>0</v>
      </c>
      <c r="V808" s="9" t="s">
        <v>114</v>
      </c>
      <c r="W808" s="9">
        <v>0</v>
      </c>
      <c r="X808" s="9">
        <v>0</v>
      </c>
      <c r="Y808" s="9">
        <v>0</v>
      </c>
      <c r="Z808" s="9">
        <v>0</v>
      </c>
      <c r="AA808" s="9">
        <v>20</v>
      </c>
      <c r="AB808" s="9">
        <v>14</v>
      </c>
      <c r="AC808" s="9">
        <v>14</v>
      </c>
      <c r="AD808" s="9" t="s">
        <v>0</v>
      </c>
      <c r="AE808" s="9" t="s">
        <v>60</v>
      </c>
    </row>
    <row r="809" spans="1:31" ht="38.25" x14ac:dyDescent="0.2">
      <c r="A809" s="6" t="str">
        <f>HYPERLINK("http://www.patentics.cn/invokexml.do?sx=showpatent_cn&amp;sf=ShowPatent&amp;spn=CN101149748&amp;sx=showpatent_cn&amp;sv=4965a5e7743e521983c0a99c88622cdb","CN101149748")</f>
        <v>CN101149748</v>
      </c>
      <c r="B809" s="7" t="s">
        <v>4088</v>
      </c>
      <c r="C809" s="7" t="s">
        <v>4089</v>
      </c>
      <c r="D809" s="7" t="s">
        <v>923</v>
      </c>
      <c r="E809" s="7" t="s">
        <v>923</v>
      </c>
      <c r="F809" s="7" t="s">
        <v>4090</v>
      </c>
      <c r="G809" s="7" t="s">
        <v>4091</v>
      </c>
      <c r="H809" s="7" t="s">
        <v>4092</v>
      </c>
      <c r="I809" s="7" t="s">
        <v>4092</v>
      </c>
      <c r="J809" s="7" t="s">
        <v>4093</v>
      </c>
      <c r="K809" s="7" t="s">
        <v>885</v>
      </c>
      <c r="L809" s="7" t="s">
        <v>2325</v>
      </c>
      <c r="M809" s="7">
        <v>2</v>
      </c>
      <c r="N809" s="7">
        <v>31</v>
      </c>
      <c r="O809" s="7" t="s">
        <v>42</v>
      </c>
      <c r="P809" s="7" t="s">
        <v>43</v>
      </c>
      <c r="Q809" s="7">
        <v>0</v>
      </c>
      <c r="R809" s="7">
        <v>0</v>
      </c>
      <c r="S809" s="7">
        <v>0</v>
      </c>
      <c r="T809" s="7">
        <v>0</v>
      </c>
      <c r="U809" s="7">
        <v>13</v>
      </c>
      <c r="V809" s="7" t="s">
        <v>4094</v>
      </c>
      <c r="W809" s="7">
        <v>0</v>
      </c>
      <c r="X809" s="7">
        <v>13</v>
      </c>
      <c r="Y809" s="7">
        <v>7</v>
      </c>
      <c r="Z809" s="7">
        <v>2</v>
      </c>
      <c r="AA809" s="7">
        <v>1</v>
      </c>
      <c r="AB809" s="7">
        <v>1</v>
      </c>
      <c r="AC809" s="7" t="s">
        <v>0</v>
      </c>
      <c r="AD809" s="7">
        <v>2</v>
      </c>
      <c r="AE809" s="7" t="s">
        <v>532</v>
      </c>
    </row>
    <row r="810" spans="1:31" ht="76.5" x14ac:dyDescent="0.2">
      <c r="A810" s="8" t="str">
        <f>HYPERLINK("http://www.patentics.cn/invokexml.do?sx=showpatent_cn&amp;sf=ShowPatent&amp;spn=US9118699&amp;sx=showpatent_cn&amp;sv=adc320a8300ed0ca3aa90dda4426ffcb","US9118699")</f>
        <v>US9118699</v>
      </c>
      <c r="B810" s="9" t="s">
        <v>4095</v>
      </c>
      <c r="C810" s="9" t="s">
        <v>4096</v>
      </c>
      <c r="D810" s="9" t="s">
        <v>48</v>
      </c>
      <c r="E810" s="9" t="s">
        <v>49</v>
      </c>
      <c r="F810" s="9" t="s">
        <v>4097</v>
      </c>
      <c r="G810" s="9" t="s">
        <v>4098</v>
      </c>
      <c r="H810" s="9" t="s">
        <v>4099</v>
      </c>
      <c r="I810" s="9" t="s">
        <v>4099</v>
      </c>
      <c r="J810" s="9" t="s">
        <v>445</v>
      </c>
      <c r="K810" s="9" t="s">
        <v>68</v>
      </c>
      <c r="L810" s="9" t="s">
        <v>2953</v>
      </c>
      <c r="M810" s="9">
        <v>32</v>
      </c>
      <c r="N810" s="9">
        <v>9</v>
      </c>
      <c r="O810" s="9" t="s">
        <v>57</v>
      </c>
      <c r="P810" s="9" t="s">
        <v>58</v>
      </c>
      <c r="Q810" s="9">
        <v>20</v>
      </c>
      <c r="R810" s="9">
        <v>0</v>
      </c>
      <c r="S810" s="9">
        <v>20</v>
      </c>
      <c r="T810" s="9">
        <v>16</v>
      </c>
      <c r="U810" s="9">
        <v>0</v>
      </c>
      <c r="V810" s="9" t="s">
        <v>114</v>
      </c>
      <c r="W810" s="9">
        <v>0</v>
      </c>
      <c r="X810" s="9">
        <v>0</v>
      </c>
      <c r="Y810" s="9">
        <v>0</v>
      </c>
      <c r="Z810" s="9">
        <v>0</v>
      </c>
      <c r="AA810" s="9">
        <v>10</v>
      </c>
      <c r="AB810" s="9">
        <v>7</v>
      </c>
      <c r="AC810" s="9">
        <v>14</v>
      </c>
      <c r="AD810" s="9" t="s">
        <v>0</v>
      </c>
      <c r="AE810" s="9" t="s">
        <v>60</v>
      </c>
    </row>
    <row r="811" spans="1:31" ht="51" x14ac:dyDescent="0.2">
      <c r="A811" s="8" t="str">
        <f>HYPERLINK("http://www.patentics.cn/invokexml.do?sx=showpatent_cn&amp;sf=ShowPatent&amp;spn=CN102292956B&amp;sx=showpatent_cn&amp;sv=49a90e8d07079de5bb6c45ce73a35bb8","CN102292956B")</f>
        <v>CN102292956B</v>
      </c>
      <c r="B811" s="9" t="s">
        <v>4100</v>
      </c>
      <c r="C811" s="9" t="s">
        <v>4101</v>
      </c>
      <c r="D811" s="9" t="s">
        <v>301</v>
      </c>
      <c r="E811" s="9" t="s">
        <v>301</v>
      </c>
      <c r="F811" s="9" t="s">
        <v>4102</v>
      </c>
      <c r="G811" s="9" t="s">
        <v>4103</v>
      </c>
      <c r="H811" s="9" t="s">
        <v>4099</v>
      </c>
      <c r="I811" s="9" t="s">
        <v>4104</v>
      </c>
      <c r="J811" s="9" t="s">
        <v>330</v>
      </c>
      <c r="K811" s="9" t="s">
        <v>68</v>
      </c>
      <c r="L811" s="9" t="s">
        <v>2336</v>
      </c>
      <c r="M811" s="9">
        <v>24</v>
      </c>
      <c r="N811" s="9">
        <v>14</v>
      </c>
      <c r="O811" s="9" t="s">
        <v>57</v>
      </c>
      <c r="P811" s="9" t="s">
        <v>58</v>
      </c>
      <c r="Q811" s="9">
        <v>2</v>
      </c>
      <c r="R811" s="9">
        <v>0</v>
      </c>
      <c r="S811" s="9">
        <v>2</v>
      </c>
      <c r="T811" s="9">
        <v>2</v>
      </c>
      <c r="U811" s="9">
        <v>0</v>
      </c>
      <c r="V811" s="9" t="s">
        <v>114</v>
      </c>
      <c r="W811" s="9">
        <v>0</v>
      </c>
      <c r="X811" s="9">
        <v>0</v>
      </c>
      <c r="Y811" s="9">
        <v>0</v>
      </c>
      <c r="Z811" s="9">
        <v>0</v>
      </c>
      <c r="AA811" s="9">
        <v>0</v>
      </c>
      <c r="AB811" s="9">
        <v>0</v>
      </c>
      <c r="AC811" s="9">
        <v>14</v>
      </c>
      <c r="AD811" s="9" t="s">
        <v>0</v>
      </c>
      <c r="AE811" s="9" t="s">
        <v>60</v>
      </c>
    </row>
    <row r="812" spans="1:31" ht="51" x14ac:dyDescent="0.2">
      <c r="A812" s="6" t="str">
        <f>HYPERLINK("http://www.patentics.cn/invokexml.do?sx=showpatent_cn&amp;sf=ShowPatent&amp;spn=CN101141559&amp;sx=showpatent_cn&amp;sv=b4613dbd44418da8fb576ad6ec9e48b6","CN101141559")</f>
        <v>CN101141559</v>
      </c>
      <c r="B812" s="7" t="s">
        <v>4105</v>
      </c>
      <c r="C812" s="7" t="s">
        <v>4106</v>
      </c>
      <c r="D812" s="7" t="s">
        <v>923</v>
      </c>
      <c r="E812" s="7" t="s">
        <v>923</v>
      </c>
      <c r="F812" s="7" t="s">
        <v>4107</v>
      </c>
      <c r="G812" s="7" t="s">
        <v>4108</v>
      </c>
      <c r="H812" s="7" t="s">
        <v>4109</v>
      </c>
      <c r="I812" s="7" t="s">
        <v>4109</v>
      </c>
      <c r="J812" s="7" t="s">
        <v>4110</v>
      </c>
      <c r="K812" s="7" t="s">
        <v>714</v>
      </c>
      <c r="L812" s="7" t="s">
        <v>4111</v>
      </c>
      <c r="M812" s="7">
        <v>2</v>
      </c>
      <c r="N812" s="7">
        <v>20</v>
      </c>
      <c r="O812" s="7" t="s">
        <v>42</v>
      </c>
      <c r="P812" s="7" t="s">
        <v>43</v>
      </c>
      <c r="Q812" s="7">
        <v>0</v>
      </c>
      <c r="R812" s="7">
        <v>0</v>
      </c>
      <c r="S812" s="7">
        <v>0</v>
      </c>
      <c r="T812" s="7">
        <v>0</v>
      </c>
      <c r="U812" s="7">
        <v>2</v>
      </c>
      <c r="V812" s="7" t="s">
        <v>1272</v>
      </c>
      <c r="W812" s="7">
        <v>0</v>
      </c>
      <c r="X812" s="7">
        <v>2</v>
      </c>
      <c r="Y812" s="7">
        <v>1</v>
      </c>
      <c r="Z812" s="7">
        <v>2</v>
      </c>
      <c r="AA812" s="7">
        <v>1</v>
      </c>
      <c r="AB812" s="7">
        <v>1</v>
      </c>
      <c r="AC812" s="7" t="s">
        <v>0</v>
      </c>
      <c r="AD812" s="7">
        <v>2</v>
      </c>
      <c r="AE812" s="7" t="s">
        <v>60</v>
      </c>
    </row>
    <row r="813" spans="1:31" ht="63.75" x14ac:dyDescent="0.2">
      <c r="A813" s="8" t="str">
        <f>HYPERLINK("http://www.patentics.cn/invokexml.do?sx=showpatent_cn&amp;sf=ShowPatent&amp;spn=US8811484&amp;sx=showpatent_cn&amp;sv=dbaea019e1741a21ca24ff85d69650ae","US8811484")</f>
        <v>US8811484</v>
      </c>
      <c r="B813" s="9" t="s">
        <v>4112</v>
      </c>
      <c r="C813" s="9" t="s">
        <v>4113</v>
      </c>
      <c r="D813" s="9" t="s">
        <v>117</v>
      </c>
      <c r="E813" s="9" t="s">
        <v>49</v>
      </c>
      <c r="F813" s="9" t="s">
        <v>4114</v>
      </c>
      <c r="G813" s="9" t="s">
        <v>4115</v>
      </c>
      <c r="H813" s="9" t="s">
        <v>4116</v>
      </c>
      <c r="I813" s="9" t="s">
        <v>2324</v>
      </c>
      <c r="J813" s="9" t="s">
        <v>946</v>
      </c>
      <c r="K813" s="9" t="s">
        <v>714</v>
      </c>
      <c r="L813" s="9" t="s">
        <v>1360</v>
      </c>
      <c r="M813" s="9">
        <v>60</v>
      </c>
      <c r="N813" s="9">
        <v>14</v>
      </c>
      <c r="O813" s="9" t="s">
        <v>57</v>
      </c>
      <c r="P813" s="9" t="s">
        <v>58</v>
      </c>
      <c r="Q813" s="9">
        <v>39</v>
      </c>
      <c r="R813" s="9">
        <v>4</v>
      </c>
      <c r="S813" s="9">
        <v>35</v>
      </c>
      <c r="T813" s="9">
        <v>15</v>
      </c>
      <c r="U813" s="9">
        <v>4</v>
      </c>
      <c r="V813" s="9" t="s">
        <v>1272</v>
      </c>
      <c r="W813" s="9">
        <v>0</v>
      </c>
      <c r="X813" s="9">
        <v>4</v>
      </c>
      <c r="Y813" s="9">
        <v>2</v>
      </c>
      <c r="Z813" s="9">
        <v>1</v>
      </c>
      <c r="AA813" s="9">
        <v>15</v>
      </c>
      <c r="AB813" s="9">
        <v>10</v>
      </c>
      <c r="AC813" s="9">
        <v>14</v>
      </c>
      <c r="AD813" s="9" t="s">
        <v>0</v>
      </c>
      <c r="AE813" s="9" t="s">
        <v>60</v>
      </c>
    </row>
    <row r="814" spans="1:31" ht="51" x14ac:dyDescent="0.2">
      <c r="A814" s="8" t="str">
        <f>HYPERLINK("http://www.patentics.cn/invokexml.do?sx=showpatent_cn&amp;sf=ShowPatent&amp;spn=CN102084655B&amp;sx=showpatent_cn&amp;sv=cc37e67d92f4966e304d09c12ca8d24d","CN102084655B")</f>
        <v>CN102084655B</v>
      </c>
      <c r="B814" s="9" t="s">
        <v>4117</v>
      </c>
      <c r="C814" s="9" t="s">
        <v>4118</v>
      </c>
      <c r="D814" s="9" t="s">
        <v>301</v>
      </c>
      <c r="E814" s="9" t="s">
        <v>301</v>
      </c>
      <c r="F814" s="9" t="s">
        <v>4119</v>
      </c>
      <c r="G814" s="9" t="s">
        <v>4120</v>
      </c>
      <c r="H814" s="9" t="s">
        <v>4116</v>
      </c>
      <c r="I814" s="9" t="s">
        <v>4121</v>
      </c>
      <c r="J814" s="9" t="s">
        <v>1184</v>
      </c>
      <c r="K814" s="9" t="s">
        <v>714</v>
      </c>
      <c r="L814" s="9" t="s">
        <v>4122</v>
      </c>
      <c r="M814" s="9">
        <v>23</v>
      </c>
      <c r="N814" s="9">
        <v>20</v>
      </c>
      <c r="O814" s="9" t="s">
        <v>57</v>
      </c>
      <c r="P814" s="9" t="s">
        <v>58</v>
      </c>
      <c r="Q814" s="9">
        <v>7</v>
      </c>
      <c r="R814" s="9">
        <v>3</v>
      </c>
      <c r="S814" s="9">
        <v>4</v>
      </c>
      <c r="T814" s="9">
        <v>5</v>
      </c>
      <c r="U814" s="9">
        <v>0</v>
      </c>
      <c r="V814" s="9" t="s">
        <v>114</v>
      </c>
      <c r="W814" s="9">
        <v>0</v>
      </c>
      <c r="X814" s="9">
        <v>0</v>
      </c>
      <c r="Y814" s="9">
        <v>0</v>
      </c>
      <c r="Z814" s="9">
        <v>0</v>
      </c>
      <c r="AA814" s="9">
        <v>15</v>
      </c>
      <c r="AB814" s="9">
        <v>10</v>
      </c>
      <c r="AC814" s="9">
        <v>14</v>
      </c>
      <c r="AD814" s="9" t="s">
        <v>0</v>
      </c>
      <c r="AE814" s="9" t="s">
        <v>60</v>
      </c>
    </row>
    <row r="815" spans="1:31" ht="25.5" x14ac:dyDescent="0.2">
      <c r="A815" s="6" t="str">
        <f>HYPERLINK("http://www.patentics.cn/invokexml.do?sx=showpatent_cn&amp;sf=ShowPatent&amp;spn=CN101132601&amp;sx=showpatent_cn&amp;sv=9e966390ff714059c0d7691b30b49cfc","CN101132601")</f>
        <v>CN101132601</v>
      </c>
      <c r="B815" s="7" t="s">
        <v>4123</v>
      </c>
      <c r="C815" s="7" t="s">
        <v>4124</v>
      </c>
      <c r="D815" s="7" t="s">
        <v>1097</v>
      </c>
      <c r="E815" s="7" t="s">
        <v>1097</v>
      </c>
      <c r="F815" s="7" t="s">
        <v>4125</v>
      </c>
      <c r="G815" s="7" t="s">
        <v>4126</v>
      </c>
      <c r="H815" s="7" t="s">
        <v>4127</v>
      </c>
      <c r="I815" s="7" t="s">
        <v>4127</v>
      </c>
      <c r="J815" s="7" t="s">
        <v>4128</v>
      </c>
      <c r="K815" s="7" t="s">
        <v>96</v>
      </c>
      <c r="L815" s="7" t="s">
        <v>2811</v>
      </c>
      <c r="M815" s="7">
        <v>9</v>
      </c>
      <c r="N815" s="7">
        <v>29</v>
      </c>
      <c r="O815" s="7" t="s">
        <v>42</v>
      </c>
      <c r="P815" s="7" t="s">
        <v>43</v>
      </c>
      <c r="Q815" s="7">
        <v>0</v>
      </c>
      <c r="R815" s="7">
        <v>0</v>
      </c>
      <c r="S815" s="7">
        <v>0</v>
      </c>
      <c r="T815" s="7">
        <v>0</v>
      </c>
      <c r="U815" s="7">
        <v>24</v>
      </c>
      <c r="V815" s="7" t="s">
        <v>4129</v>
      </c>
      <c r="W815" s="7">
        <v>1</v>
      </c>
      <c r="X815" s="7">
        <v>23</v>
      </c>
      <c r="Y815" s="7">
        <v>12</v>
      </c>
      <c r="Z815" s="7">
        <v>3</v>
      </c>
      <c r="AA815" s="7">
        <v>1</v>
      </c>
      <c r="AB815" s="7">
        <v>1</v>
      </c>
      <c r="AC815" s="7" t="s">
        <v>0</v>
      </c>
      <c r="AD815" s="7">
        <v>2</v>
      </c>
      <c r="AE815" s="7" t="s">
        <v>60</v>
      </c>
    </row>
    <row r="816" spans="1:31" ht="51" x14ac:dyDescent="0.2">
      <c r="A816" s="8" t="str">
        <f>HYPERLINK("http://www.patentics.cn/invokexml.do?sx=showpatent_cn&amp;sf=ShowPatent&amp;spn=US8638811&amp;sx=showpatent_cn&amp;sv=b4bccf106a8b7135a3bde48af2284040","US8638811")</f>
        <v>US8638811</v>
      </c>
      <c r="B816" s="9" t="s">
        <v>4130</v>
      </c>
      <c r="C816" s="9" t="s">
        <v>4131</v>
      </c>
      <c r="D816" s="9" t="s">
        <v>48</v>
      </c>
      <c r="E816" s="9" t="s">
        <v>49</v>
      </c>
      <c r="F816" s="9" t="s">
        <v>4132</v>
      </c>
      <c r="G816" s="9" t="s">
        <v>4133</v>
      </c>
      <c r="H816" s="9" t="s">
        <v>4134</v>
      </c>
      <c r="I816" s="9" t="s">
        <v>4134</v>
      </c>
      <c r="J816" s="9" t="s">
        <v>3989</v>
      </c>
      <c r="K816" s="9" t="s">
        <v>40</v>
      </c>
      <c r="L816" s="9" t="s">
        <v>3475</v>
      </c>
      <c r="M816" s="9">
        <v>36</v>
      </c>
      <c r="N816" s="9">
        <v>10</v>
      </c>
      <c r="O816" s="9" t="s">
        <v>57</v>
      </c>
      <c r="P816" s="9" t="s">
        <v>58</v>
      </c>
      <c r="Q816" s="9">
        <v>35</v>
      </c>
      <c r="R816" s="9">
        <v>3</v>
      </c>
      <c r="S816" s="9">
        <v>32</v>
      </c>
      <c r="T816" s="9">
        <v>16</v>
      </c>
      <c r="U816" s="9">
        <v>0</v>
      </c>
      <c r="V816" s="9" t="s">
        <v>114</v>
      </c>
      <c r="W816" s="9">
        <v>0</v>
      </c>
      <c r="X816" s="9">
        <v>0</v>
      </c>
      <c r="Y816" s="9">
        <v>0</v>
      </c>
      <c r="Z816" s="9">
        <v>0</v>
      </c>
      <c r="AA816" s="9">
        <v>11</v>
      </c>
      <c r="AB816" s="9">
        <v>6</v>
      </c>
      <c r="AC816" s="9">
        <v>14</v>
      </c>
      <c r="AD816" s="9" t="s">
        <v>0</v>
      </c>
      <c r="AE816" s="9" t="s">
        <v>60</v>
      </c>
    </row>
    <row r="817" spans="1:31" ht="25.5" x14ac:dyDescent="0.2">
      <c r="A817" s="8" t="str">
        <f>HYPERLINK("http://www.patentics.cn/invokexml.do?sx=showpatent_cn&amp;sf=ShowPatent&amp;spn=CN101978754B&amp;sx=showpatent_cn&amp;sv=41b4668c585ef86d065203f41aebd4c5","CN101978754B")</f>
        <v>CN101978754B</v>
      </c>
      <c r="B817" s="9" t="s">
        <v>4135</v>
      </c>
      <c r="C817" s="9" t="s">
        <v>4136</v>
      </c>
      <c r="D817" s="9" t="s">
        <v>301</v>
      </c>
      <c r="E817" s="9" t="s">
        <v>301</v>
      </c>
      <c r="F817" s="9" t="s">
        <v>4137</v>
      </c>
      <c r="G817" s="9" t="s">
        <v>4138</v>
      </c>
      <c r="H817" s="9" t="s">
        <v>4134</v>
      </c>
      <c r="I817" s="9" t="s">
        <v>4139</v>
      </c>
      <c r="J817" s="9" t="s">
        <v>1882</v>
      </c>
      <c r="K817" s="9" t="s">
        <v>55</v>
      </c>
      <c r="L817" s="9" t="s">
        <v>206</v>
      </c>
      <c r="M817" s="9">
        <v>32</v>
      </c>
      <c r="N817" s="9">
        <v>21</v>
      </c>
      <c r="O817" s="9" t="s">
        <v>57</v>
      </c>
      <c r="P817" s="9" t="s">
        <v>58</v>
      </c>
      <c r="Q817" s="9">
        <v>3</v>
      </c>
      <c r="R817" s="9">
        <v>0</v>
      </c>
      <c r="S817" s="9">
        <v>3</v>
      </c>
      <c r="T817" s="9">
        <v>2</v>
      </c>
      <c r="U817" s="9">
        <v>0</v>
      </c>
      <c r="V817" s="9" t="s">
        <v>114</v>
      </c>
      <c r="W817" s="9">
        <v>0</v>
      </c>
      <c r="X817" s="9">
        <v>0</v>
      </c>
      <c r="Y817" s="9">
        <v>0</v>
      </c>
      <c r="Z817" s="9">
        <v>0</v>
      </c>
      <c r="AA817" s="9">
        <v>11</v>
      </c>
      <c r="AB817" s="9">
        <v>6</v>
      </c>
      <c r="AC817" s="9">
        <v>14</v>
      </c>
      <c r="AD817" s="9" t="s">
        <v>0</v>
      </c>
      <c r="AE817" s="9" t="s">
        <v>60</v>
      </c>
    </row>
    <row r="818" spans="1:31" ht="63.75" x14ac:dyDescent="0.2">
      <c r="A818" s="6" t="str">
        <f>HYPERLINK("http://www.patentics.cn/invokexml.do?sx=showpatent_cn&amp;sf=ShowPatent&amp;spn=CN101115046&amp;sx=showpatent_cn&amp;sv=440ba09efd25db6ace5663ab05587cb5","CN101115046")</f>
        <v>CN101115046</v>
      </c>
      <c r="B818" s="7" t="s">
        <v>4140</v>
      </c>
      <c r="C818" s="7" t="s">
        <v>4141</v>
      </c>
      <c r="D818" s="7" t="s">
        <v>1420</v>
      </c>
      <c r="E818" s="7" t="s">
        <v>1420</v>
      </c>
      <c r="F818" s="7" t="s">
        <v>4142</v>
      </c>
      <c r="G818" s="7" t="s">
        <v>4075</v>
      </c>
      <c r="H818" s="7" t="s">
        <v>0</v>
      </c>
      <c r="I818" s="7" t="s">
        <v>4143</v>
      </c>
      <c r="J818" s="7" t="s">
        <v>4144</v>
      </c>
      <c r="K818" s="7" t="s">
        <v>68</v>
      </c>
      <c r="L818" s="7" t="s">
        <v>281</v>
      </c>
      <c r="M818" s="7">
        <v>2</v>
      </c>
      <c r="N818" s="7">
        <v>62</v>
      </c>
      <c r="O818" s="7" t="s">
        <v>42</v>
      </c>
      <c r="P818" s="7" t="s">
        <v>43</v>
      </c>
      <c r="Q818" s="7">
        <v>0</v>
      </c>
      <c r="R818" s="7">
        <v>0</v>
      </c>
      <c r="S818" s="7">
        <v>0</v>
      </c>
      <c r="T818" s="7">
        <v>0</v>
      </c>
      <c r="U818" s="7">
        <v>22</v>
      </c>
      <c r="V818" s="7" t="s">
        <v>4145</v>
      </c>
      <c r="W818" s="7">
        <v>0</v>
      </c>
      <c r="X818" s="7">
        <v>22</v>
      </c>
      <c r="Y818" s="7">
        <v>11</v>
      </c>
      <c r="Z818" s="7">
        <v>2</v>
      </c>
      <c r="AA818" s="7">
        <v>0</v>
      </c>
      <c r="AB818" s="7">
        <v>0</v>
      </c>
      <c r="AC818" s="7" t="s">
        <v>0</v>
      </c>
      <c r="AD818" s="7">
        <v>2</v>
      </c>
      <c r="AE818" s="7" t="s">
        <v>45</v>
      </c>
    </row>
    <row r="819" spans="1:31" ht="38.25" x14ac:dyDescent="0.2">
      <c r="A819" s="8" t="str">
        <f>HYPERLINK("http://www.patentics.cn/invokexml.do?sx=showpatent_cn&amp;sf=ShowPatent&amp;spn=US8520747&amp;sx=showpatent_cn&amp;sv=06054836901f78be2ab6f12c3f07e406","US8520747")</f>
        <v>US8520747</v>
      </c>
      <c r="B819" s="9" t="s">
        <v>4146</v>
      </c>
      <c r="C819" s="9" t="s">
        <v>4147</v>
      </c>
      <c r="D819" s="9" t="s">
        <v>48</v>
      </c>
      <c r="E819" s="9" t="s">
        <v>49</v>
      </c>
      <c r="F819" s="9" t="s">
        <v>4148</v>
      </c>
      <c r="G819" s="9" t="s">
        <v>4149</v>
      </c>
      <c r="H819" s="9" t="s">
        <v>4150</v>
      </c>
      <c r="I819" s="9" t="s">
        <v>4150</v>
      </c>
      <c r="J819" s="9" t="s">
        <v>382</v>
      </c>
      <c r="K819" s="9" t="s">
        <v>286</v>
      </c>
      <c r="L819" s="9" t="s">
        <v>287</v>
      </c>
      <c r="M819" s="9">
        <v>16</v>
      </c>
      <c r="N819" s="9">
        <v>16</v>
      </c>
      <c r="O819" s="9" t="s">
        <v>57</v>
      </c>
      <c r="P819" s="9" t="s">
        <v>58</v>
      </c>
      <c r="Q819" s="9">
        <v>14</v>
      </c>
      <c r="R819" s="9">
        <v>3</v>
      </c>
      <c r="S819" s="9">
        <v>11</v>
      </c>
      <c r="T819" s="9">
        <v>7</v>
      </c>
      <c r="U819" s="9">
        <v>1</v>
      </c>
      <c r="V819" s="9" t="s">
        <v>70</v>
      </c>
      <c r="W819" s="9">
        <v>0</v>
      </c>
      <c r="X819" s="9">
        <v>1</v>
      </c>
      <c r="Y819" s="9">
        <v>1</v>
      </c>
      <c r="Z819" s="9">
        <v>1</v>
      </c>
      <c r="AA819" s="9">
        <v>12</v>
      </c>
      <c r="AB819" s="9">
        <v>7</v>
      </c>
      <c r="AC819" s="9">
        <v>14</v>
      </c>
      <c r="AD819" s="9" t="s">
        <v>0</v>
      </c>
      <c r="AE819" s="9" t="s">
        <v>60</v>
      </c>
    </row>
    <row r="820" spans="1:31" ht="25.5" x14ac:dyDescent="0.2">
      <c r="A820" s="8" t="str">
        <f>HYPERLINK("http://www.patentics.cn/invokexml.do?sx=showpatent_cn&amp;sf=ShowPatent&amp;spn=CN101946473B&amp;sx=showpatent_cn&amp;sv=90978120b1536f71f3110c25752733af","CN101946473B")</f>
        <v>CN101946473B</v>
      </c>
      <c r="B820" s="9" t="s">
        <v>4151</v>
      </c>
      <c r="C820" s="9" t="s">
        <v>4152</v>
      </c>
      <c r="D820" s="9" t="s">
        <v>301</v>
      </c>
      <c r="E820" s="9" t="s">
        <v>301</v>
      </c>
      <c r="F820" s="9" t="s">
        <v>4153</v>
      </c>
      <c r="G820" s="9" t="s">
        <v>4154</v>
      </c>
      <c r="H820" s="9" t="s">
        <v>4150</v>
      </c>
      <c r="I820" s="9" t="s">
        <v>4155</v>
      </c>
      <c r="J820" s="9" t="s">
        <v>2025</v>
      </c>
      <c r="K820" s="9" t="s">
        <v>68</v>
      </c>
      <c r="L820" s="9" t="s">
        <v>428</v>
      </c>
      <c r="M820" s="9">
        <v>10</v>
      </c>
      <c r="N820" s="9">
        <v>13</v>
      </c>
      <c r="O820" s="9" t="s">
        <v>57</v>
      </c>
      <c r="P820" s="9" t="s">
        <v>58</v>
      </c>
      <c r="Q820" s="9">
        <v>2</v>
      </c>
      <c r="R820" s="9">
        <v>1</v>
      </c>
      <c r="S820" s="9">
        <v>1</v>
      </c>
      <c r="T820" s="9">
        <v>2</v>
      </c>
      <c r="U820" s="9">
        <v>0</v>
      </c>
      <c r="V820" s="9" t="s">
        <v>114</v>
      </c>
      <c r="W820" s="9">
        <v>0</v>
      </c>
      <c r="X820" s="9">
        <v>0</v>
      </c>
      <c r="Y820" s="9">
        <v>0</v>
      </c>
      <c r="Z820" s="9">
        <v>0</v>
      </c>
      <c r="AA820" s="9">
        <v>12</v>
      </c>
      <c r="AB820" s="9">
        <v>7</v>
      </c>
      <c r="AC820" s="9">
        <v>14</v>
      </c>
      <c r="AD820" s="9" t="s">
        <v>0</v>
      </c>
      <c r="AE820" s="9" t="s">
        <v>532</v>
      </c>
    </row>
    <row r="821" spans="1:31" ht="38.25" x14ac:dyDescent="0.2">
      <c r="A821" s="6" t="str">
        <f>HYPERLINK("http://www.patentics.cn/invokexml.do?sx=showpatent_cn&amp;sf=ShowPatent&amp;spn=CN101110735&amp;sx=showpatent_cn&amp;sv=e5dea6f4e13e7a7cac07935ad48f2ebf","CN101110735")</f>
        <v>CN101110735</v>
      </c>
      <c r="B821" s="7" t="s">
        <v>4156</v>
      </c>
      <c r="C821" s="7" t="s">
        <v>4157</v>
      </c>
      <c r="D821" s="7" t="s">
        <v>4158</v>
      </c>
      <c r="E821" s="7" t="s">
        <v>4158</v>
      </c>
      <c r="F821" s="7" t="s">
        <v>4159</v>
      </c>
      <c r="G821" s="7" t="s">
        <v>4160</v>
      </c>
      <c r="H821" s="7" t="s">
        <v>3001</v>
      </c>
      <c r="I821" s="7" t="s">
        <v>3001</v>
      </c>
      <c r="J821" s="7" t="s">
        <v>4161</v>
      </c>
      <c r="K821" s="7" t="s">
        <v>68</v>
      </c>
      <c r="L821" s="7" t="s">
        <v>245</v>
      </c>
      <c r="M821" s="7">
        <v>6</v>
      </c>
      <c r="N821" s="7">
        <v>28</v>
      </c>
      <c r="O821" s="7" t="s">
        <v>42</v>
      </c>
      <c r="P821" s="7" t="s">
        <v>43</v>
      </c>
      <c r="Q821" s="7">
        <v>2</v>
      </c>
      <c r="R821" s="7">
        <v>0</v>
      </c>
      <c r="S821" s="7">
        <v>2</v>
      </c>
      <c r="T821" s="7">
        <v>1</v>
      </c>
      <c r="U821" s="7">
        <v>14</v>
      </c>
      <c r="V821" s="7" t="s">
        <v>4162</v>
      </c>
      <c r="W821" s="7">
        <v>0</v>
      </c>
      <c r="X821" s="7">
        <v>14</v>
      </c>
      <c r="Y821" s="7">
        <v>7</v>
      </c>
      <c r="Z821" s="7">
        <v>2</v>
      </c>
      <c r="AA821" s="7">
        <v>1</v>
      </c>
      <c r="AB821" s="7">
        <v>1</v>
      </c>
      <c r="AC821" s="7" t="s">
        <v>0</v>
      </c>
      <c r="AD821" s="7">
        <v>2</v>
      </c>
      <c r="AE821" s="7" t="s">
        <v>532</v>
      </c>
    </row>
    <row r="822" spans="1:31" ht="76.5" x14ac:dyDescent="0.2">
      <c r="A822" s="8" t="str">
        <f>HYPERLINK("http://www.patentics.cn/invokexml.do?sx=showpatent_cn&amp;sf=ShowPatent&amp;spn=US8639184&amp;sx=showpatent_cn&amp;sv=e6ef6354cfde72d2e9004820f22c349f","US8639184")</f>
        <v>US8639184</v>
      </c>
      <c r="B822" s="9" t="s">
        <v>3985</v>
      </c>
      <c r="C822" s="9" t="s">
        <v>3986</v>
      </c>
      <c r="D822" s="9" t="s">
        <v>48</v>
      </c>
      <c r="E822" s="9" t="s">
        <v>49</v>
      </c>
      <c r="F822" s="9" t="s">
        <v>3987</v>
      </c>
      <c r="G822" s="9" t="s">
        <v>3988</v>
      </c>
      <c r="H822" s="9" t="s">
        <v>547</v>
      </c>
      <c r="I822" s="9" t="s">
        <v>690</v>
      </c>
      <c r="J822" s="9" t="s">
        <v>3989</v>
      </c>
      <c r="K822" s="9" t="s">
        <v>89</v>
      </c>
      <c r="L822" s="9" t="s">
        <v>548</v>
      </c>
      <c r="M822" s="9">
        <v>26</v>
      </c>
      <c r="N822" s="9">
        <v>11</v>
      </c>
      <c r="O822" s="9" t="s">
        <v>57</v>
      </c>
      <c r="P822" s="9" t="s">
        <v>58</v>
      </c>
      <c r="Q822" s="9">
        <v>29</v>
      </c>
      <c r="R822" s="9">
        <v>0</v>
      </c>
      <c r="S822" s="9">
        <v>29</v>
      </c>
      <c r="T822" s="9">
        <v>22</v>
      </c>
      <c r="U822" s="9">
        <v>1</v>
      </c>
      <c r="V822" s="9" t="s">
        <v>264</v>
      </c>
      <c r="W822" s="9">
        <v>0</v>
      </c>
      <c r="X822" s="9">
        <v>1</v>
      </c>
      <c r="Y822" s="9">
        <v>1</v>
      </c>
      <c r="Z822" s="9">
        <v>1</v>
      </c>
      <c r="AA822" s="9">
        <v>9</v>
      </c>
      <c r="AB822" s="9">
        <v>6</v>
      </c>
      <c r="AC822" s="9">
        <v>14</v>
      </c>
      <c r="AD822" s="9" t="s">
        <v>0</v>
      </c>
      <c r="AE822" s="9" t="s">
        <v>60</v>
      </c>
    </row>
    <row r="823" spans="1:31" ht="51" x14ac:dyDescent="0.2">
      <c r="A823" s="8" t="str">
        <f>HYPERLINK("http://www.patentics.cn/invokexml.do?sx=showpatent_cn&amp;sf=ShowPatent&amp;spn=CN102204398B&amp;sx=showpatent_cn&amp;sv=4867ee0decee6275c96b4aed11f59a83","CN102204398B")</f>
        <v>CN102204398B</v>
      </c>
      <c r="B823" s="9" t="s">
        <v>3990</v>
      </c>
      <c r="C823" s="9" t="s">
        <v>3991</v>
      </c>
      <c r="D823" s="9" t="s">
        <v>301</v>
      </c>
      <c r="E823" s="9" t="s">
        <v>301</v>
      </c>
      <c r="F823" s="9" t="s">
        <v>3992</v>
      </c>
      <c r="G823" s="9" t="s">
        <v>3993</v>
      </c>
      <c r="H823" s="9" t="s">
        <v>547</v>
      </c>
      <c r="I823" s="9" t="s">
        <v>1007</v>
      </c>
      <c r="J823" s="9" t="s">
        <v>3994</v>
      </c>
      <c r="K823" s="9" t="s">
        <v>55</v>
      </c>
      <c r="L823" s="9" t="s">
        <v>3995</v>
      </c>
      <c r="M823" s="9">
        <v>23</v>
      </c>
      <c r="N823" s="9">
        <v>19</v>
      </c>
      <c r="O823" s="9" t="s">
        <v>57</v>
      </c>
      <c r="P823" s="9" t="s">
        <v>58</v>
      </c>
      <c r="Q823" s="9">
        <v>6</v>
      </c>
      <c r="R823" s="9">
        <v>0</v>
      </c>
      <c r="S823" s="9">
        <v>6</v>
      </c>
      <c r="T823" s="9">
        <v>6</v>
      </c>
      <c r="U823" s="9">
        <v>0</v>
      </c>
      <c r="V823" s="9" t="s">
        <v>114</v>
      </c>
      <c r="W823" s="9">
        <v>0</v>
      </c>
      <c r="X823" s="9">
        <v>0</v>
      </c>
      <c r="Y823" s="9">
        <v>0</v>
      </c>
      <c r="Z823" s="9">
        <v>0</v>
      </c>
      <c r="AA823" s="9">
        <v>9</v>
      </c>
      <c r="AB823" s="9">
        <v>6</v>
      </c>
      <c r="AC823" s="9">
        <v>14</v>
      </c>
      <c r="AD823" s="9" t="s">
        <v>0</v>
      </c>
      <c r="AE823" s="9" t="s">
        <v>60</v>
      </c>
    </row>
    <row r="824" spans="1:31" ht="51" x14ac:dyDescent="0.2">
      <c r="A824" s="6" t="str">
        <f>HYPERLINK("http://www.patentics.cn/invokexml.do?sx=showpatent_cn&amp;sf=ShowPatent&amp;spn=CN101110733&amp;sx=showpatent_cn&amp;sv=1c93b621f1af92923117839106d23d1c","CN101110733")</f>
        <v>CN101110733</v>
      </c>
      <c r="B824" s="7" t="s">
        <v>4163</v>
      </c>
      <c r="C824" s="7" t="s">
        <v>4164</v>
      </c>
      <c r="D824" s="7" t="s">
        <v>932</v>
      </c>
      <c r="E824" s="7" t="s">
        <v>932</v>
      </c>
      <c r="F824" s="7" t="s">
        <v>4165</v>
      </c>
      <c r="G824" s="7" t="s">
        <v>4166</v>
      </c>
      <c r="H824" s="7" t="s">
        <v>4167</v>
      </c>
      <c r="I824" s="7" t="s">
        <v>4167</v>
      </c>
      <c r="J824" s="7" t="s">
        <v>4161</v>
      </c>
      <c r="K824" s="7" t="s">
        <v>68</v>
      </c>
      <c r="L824" s="7" t="s">
        <v>245</v>
      </c>
      <c r="M824" s="7">
        <v>5</v>
      </c>
      <c r="N824" s="7">
        <v>26</v>
      </c>
      <c r="O824" s="7" t="s">
        <v>42</v>
      </c>
      <c r="P824" s="7" t="s">
        <v>43</v>
      </c>
      <c r="Q824" s="7">
        <v>0</v>
      </c>
      <c r="R824" s="7">
        <v>0</v>
      </c>
      <c r="S824" s="7">
        <v>0</v>
      </c>
      <c r="T824" s="7">
        <v>0</v>
      </c>
      <c r="U824" s="7">
        <v>9</v>
      </c>
      <c r="V824" s="7" t="s">
        <v>4168</v>
      </c>
      <c r="W824" s="7">
        <v>0</v>
      </c>
      <c r="X824" s="7">
        <v>9</v>
      </c>
      <c r="Y824" s="7">
        <v>6</v>
      </c>
      <c r="Z824" s="7">
        <v>2</v>
      </c>
      <c r="AA824" s="7">
        <v>1</v>
      </c>
      <c r="AB824" s="7">
        <v>1</v>
      </c>
      <c r="AC824" s="7" t="s">
        <v>0</v>
      </c>
      <c r="AD824" s="7">
        <v>2</v>
      </c>
      <c r="AE824" s="7" t="s">
        <v>532</v>
      </c>
    </row>
    <row r="825" spans="1:31" ht="38.25" x14ac:dyDescent="0.2">
      <c r="A825" s="8" t="str">
        <f>HYPERLINK("http://www.patentics.cn/invokexml.do?sx=showpatent_cn&amp;sf=ShowPatent&amp;spn=CN103229579B&amp;sx=showpatent_cn&amp;sv=3acebd368d6d3c2b82eea853d7d7d256","CN103229579B")</f>
        <v>CN103229579B</v>
      </c>
      <c r="B825" s="9" t="s">
        <v>4169</v>
      </c>
      <c r="C825" s="9" t="s">
        <v>4170</v>
      </c>
      <c r="D825" s="9" t="s">
        <v>301</v>
      </c>
      <c r="E825" s="9" t="s">
        <v>301</v>
      </c>
      <c r="F825" s="9" t="s">
        <v>4171</v>
      </c>
      <c r="G825" s="9" t="s">
        <v>4172</v>
      </c>
      <c r="H825" s="9" t="s">
        <v>4173</v>
      </c>
      <c r="I825" s="9" t="s">
        <v>4174</v>
      </c>
      <c r="J825" s="9" t="s">
        <v>2154</v>
      </c>
      <c r="K825" s="9" t="s">
        <v>55</v>
      </c>
      <c r="L825" s="9" t="s">
        <v>272</v>
      </c>
      <c r="M825" s="9">
        <v>33</v>
      </c>
      <c r="N825" s="9">
        <v>12</v>
      </c>
      <c r="O825" s="9" t="s">
        <v>57</v>
      </c>
      <c r="P825" s="9" t="s">
        <v>58</v>
      </c>
      <c r="Q825" s="9">
        <v>5</v>
      </c>
      <c r="R825" s="9">
        <v>1</v>
      </c>
      <c r="S825" s="9">
        <v>4</v>
      </c>
      <c r="T825" s="9">
        <v>5</v>
      </c>
      <c r="U825" s="9">
        <v>0</v>
      </c>
      <c r="V825" s="9" t="s">
        <v>114</v>
      </c>
      <c r="W825" s="9">
        <v>0</v>
      </c>
      <c r="X825" s="9">
        <v>0</v>
      </c>
      <c r="Y825" s="9">
        <v>0</v>
      </c>
      <c r="Z825" s="9">
        <v>0</v>
      </c>
      <c r="AA825" s="9">
        <v>0</v>
      </c>
      <c r="AB825" s="9">
        <v>0</v>
      </c>
      <c r="AC825" s="9">
        <v>14</v>
      </c>
      <c r="AD825" s="9" t="s">
        <v>0</v>
      </c>
      <c r="AE825" s="9" t="s">
        <v>60</v>
      </c>
    </row>
    <row r="826" spans="1:31" ht="38.25" x14ac:dyDescent="0.2">
      <c r="A826" s="8" t="str">
        <f>HYPERLINK("http://www.patentics.cn/invokexml.do?sx=showpatent_cn&amp;sf=ShowPatent&amp;spn=CN103229579&amp;sx=showpatent_cn&amp;sv=9fddfd4eb530a993b5976509a6a752ed","CN103229579")</f>
        <v>CN103229579</v>
      </c>
      <c r="B826" s="9" t="s">
        <v>4169</v>
      </c>
      <c r="C826" s="9" t="s">
        <v>4170</v>
      </c>
      <c r="D826" s="9" t="s">
        <v>301</v>
      </c>
      <c r="E826" s="9" t="s">
        <v>301</v>
      </c>
      <c r="F826" s="9" t="s">
        <v>4171</v>
      </c>
      <c r="G826" s="9" t="s">
        <v>4172</v>
      </c>
      <c r="H826" s="9" t="s">
        <v>4173</v>
      </c>
      <c r="I826" s="9" t="s">
        <v>4174</v>
      </c>
      <c r="J826" s="9" t="s">
        <v>1209</v>
      </c>
      <c r="K826" s="9" t="s">
        <v>55</v>
      </c>
      <c r="L826" s="9" t="s">
        <v>272</v>
      </c>
      <c r="M826" s="9">
        <v>52</v>
      </c>
      <c r="N826" s="9">
        <v>10</v>
      </c>
      <c r="O826" s="9" t="s">
        <v>42</v>
      </c>
      <c r="P826" s="9" t="s">
        <v>58</v>
      </c>
      <c r="Q826" s="9">
        <v>5</v>
      </c>
      <c r="R826" s="9">
        <v>1</v>
      </c>
      <c r="S826" s="9">
        <v>4</v>
      </c>
      <c r="T826" s="9">
        <v>5</v>
      </c>
      <c r="U826" s="9">
        <v>0</v>
      </c>
      <c r="V826" s="9" t="s">
        <v>114</v>
      </c>
      <c r="W826" s="9">
        <v>0</v>
      </c>
      <c r="X826" s="9">
        <v>0</v>
      </c>
      <c r="Y826" s="9">
        <v>0</v>
      </c>
      <c r="Z826" s="9">
        <v>0</v>
      </c>
      <c r="AA826" s="9">
        <v>8</v>
      </c>
      <c r="AB826" s="9">
        <v>6</v>
      </c>
      <c r="AC826" s="9">
        <v>14</v>
      </c>
      <c r="AD826" s="9" t="s">
        <v>0</v>
      </c>
      <c r="AE826" s="9" t="s">
        <v>60</v>
      </c>
    </row>
    <row r="827" spans="1:31" ht="38.25" x14ac:dyDescent="0.2">
      <c r="A827" s="6" t="str">
        <f>HYPERLINK("http://www.patentics.cn/invokexml.do?sx=showpatent_cn&amp;sf=ShowPatent&amp;spn=CN101098173&amp;sx=showpatent_cn&amp;sv=cde95056a555c530f8b73b61ab41ebfa","CN101098173")</f>
        <v>CN101098173</v>
      </c>
      <c r="B827" s="7" t="s">
        <v>4175</v>
      </c>
      <c r="C827" s="7" t="s">
        <v>4176</v>
      </c>
      <c r="D827" s="7" t="s">
        <v>2504</v>
      </c>
      <c r="E827" s="7" t="s">
        <v>2504</v>
      </c>
      <c r="F827" s="7" t="s">
        <v>4177</v>
      </c>
      <c r="G827" s="7" t="s">
        <v>4178</v>
      </c>
      <c r="H827" s="7" t="s">
        <v>4179</v>
      </c>
      <c r="I827" s="7" t="s">
        <v>4180</v>
      </c>
      <c r="J827" s="7" t="s">
        <v>4181</v>
      </c>
      <c r="K827" s="7" t="s">
        <v>89</v>
      </c>
      <c r="L827" s="7" t="s">
        <v>1811</v>
      </c>
      <c r="M827" s="7">
        <v>8</v>
      </c>
      <c r="N827" s="7">
        <v>14</v>
      </c>
      <c r="O827" s="7" t="s">
        <v>42</v>
      </c>
      <c r="P827" s="7" t="s">
        <v>43</v>
      </c>
      <c r="Q827" s="7">
        <v>0</v>
      </c>
      <c r="R827" s="7">
        <v>0</v>
      </c>
      <c r="S827" s="7">
        <v>0</v>
      </c>
      <c r="T827" s="7">
        <v>0</v>
      </c>
      <c r="U827" s="7">
        <v>8</v>
      </c>
      <c r="V827" s="7" t="s">
        <v>4182</v>
      </c>
      <c r="W827" s="7">
        <v>2</v>
      </c>
      <c r="X827" s="7">
        <v>6</v>
      </c>
      <c r="Y827" s="7">
        <v>4</v>
      </c>
      <c r="Z827" s="7">
        <v>2</v>
      </c>
      <c r="AA827" s="7">
        <v>0</v>
      </c>
      <c r="AB827" s="7">
        <v>0</v>
      </c>
      <c r="AC827" s="7" t="s">
        <v>0</v>
      </c>
      <c r="AD827" s="7">
        <v>2</v>
      </c>
      <c r="AE827" s="7" t="s">
        <v>1390</v>
      </c>
    </row>
    <row r="828" spans="1:31" ht="89.25" x14ac:dyDescent="0.2">
      <c r="A828" s="8" t="str">
        <f>HYPERLINK("http://www.patentics.cn/invokexml.do?sx=showpatent_cn&amp;sf=ShowPatent&amp;spn=CN102461040B&amp;sx=showpatent_cn&amp;sv=b88bb40f2d86287b2a1532e921e92a59","CN102461040B")</f>
        <v>CN102461040B</v>
      </c>
      <c r="B828" s="9" t="s">
        <v>4183</v>
      </c>
      <c r="C828" s="9" t="s">
        <v>4184</v>
      </c>
      <c r="D828" s="9" t="s">
        <v>301</v>
      </c>
      <c r="E828" s="9" t="s">
        <v>301</v>
      </c>
      <c r="F828" s="9" t="s">
        <v>2644</v>
      </c>
      <c r="G828" s="9" t="s">
        <v>2645</v>
      </c>
      <c r="H828" s="9" t="s">
        <v>1000</v>
      </c>
      <c r="I828" s="9" t="s">
        <v>2646</v>
      </c>
      <c r="J828" s="9" t="s">
        <v>4185</v>
      </c>
      <c r="K828" s="9" t="s">
        <v>68</v>
      </c>
      <c r="L828" s="9" t="s">
        <v>1668</v>
      </c>
      <c r="M828" s="9">
        <v>49</v>
      </c>
      <c r="N828" s="9">
        <v>15</v>
      </c>
      <c r="O828" s="9" t="s">
        <v>57</v>
      </c>
      <c r="P828" s="9" t="s">
        <v>58</v>
      </c>
      <c r="Q828" s="9">
        <v>6</v>
      </c>
      <c r="R828" s="9">
        <v>0</v>
      </c>
      <c r="S828" s="9">
        <v>6</v>
      </c>
      <c r="T828" s="9">
        <v>5</v>
      </c>
      <c r="U828" s="9">
        <v>4</v>
      </c>
      <c r="V828" s="9" t="s">
        <v>114</v>
      </c>
      <c r="W828" s="9">
        <v>0</v>
      </c>
      <c r="X828" s="9">
        <v>4</v>
      </c>
      <c r="Y828" s="9">
        <v>0</v>
      </c>
      <c r="Z828" s="9">
        <v>1</v>
      </c>
      <c r="AA828" s="9">
        <v>12</v>
      </c>
      <c r="AB828" s="9">
        <v>7</v>
      </c>
      <c r="AC828" s="9">
        <v>14</v>
      </c>
      <c r="AD828" s="9" t="s">
        <v>0</v>
      </c>
      <c r="AE828" s="9" t="s">
        <v>60</v>
      </c>
    </row>
    <row r="829" spans="1:31" ht="89.25" x14ac:dyDescent="0.2">
      <c r="A829" s="8" t="str">
        <f>HYPERLINK("http://www.patentics.cn/invokexml.do?sx=showpatent_cn&amp;sf=ShowPatent&amp;spn=CN102461040&amp;sx=showpatent_cn&amp;sv=34c04db23c76106a4d42bac39f65531f","CN102461040")</f>
        <v>CN102461040</v>
      </c>
      <c r="B829" s="9" t="s">
        <v>4183</v>
      </c>
      <c r="C829" s="9" t="s">
        <v>4184</v>
      </c>
      <c r="D829" s="9" t="s">
        <v>301</v>
      </c>
      <c r="E829" s="9" t="s">
        <v>301</v>
      </c>
      <c r="F829" s="9" t="s">
        <v>2649</v>
      </c>
      <c r="G829" s="9" t="s">
        <v>2645</v>
      </c>
      <c r="H829" s="9" t="s">
        <v>1000</v>
      </c>
      <c r="I829" s="9" t="s">
        <v>2646</v>
      </c>
      <c r="J829" s="9" t="s">
        <v>2459</v>
      </c>
      <c r="K829" s="9" t="s">
        <v>68</v>
      </c>
      <c r="L829" s="9" t="s">
        <v>1668</v>
      </c>
      <c r="M829" s="9">
        <v>55</v>
      </c>
      <c r="N829" s="9">
        <v>9</v>
      </c>
      <c r="O829" s="9" t="s">
        <v>42</v>
      </c>
      <c r="P829" s="9" t="s">
        <v>58</v>
      </c>
      <c r="Q829" s="9">
        <v>5</v>
      </c>
      <c r="R829" s="9">
        <v>0</v>
      </c>
      <c r="S829" s="9">
        <v>5</v>
      </c>
      <c r="T829" s="9">
        <v>5</v>
      </c>
      <c r="U829" s="9">
        <v>4</v>
      </c>
      <c r="V829" s="9" t="s">
        <v>114</v>
      </c>
      <c r="W829" s="9">
        <v>0</v>
      </c>
      <c r="X829" s="9">
        <v>4</v>
      </c>
      <c r="Y829" s="9">
        <v>0</v>
      </c>
      <c r="Z829" s="9">
        <v>1</v>
      </c>
      <c r="AA829" s="9">
        <v>12</v>
      </c>
      <c r="AB829" s="9">
        <v>7</v>
      </c>
      <c r="AC829" s="9">
        <v>14</v>
      </c>
      <c r="AD829" s="9" t="s">
        <v>0</v>
      </c>
      <c r="AE829" s="9" t="s">
        <v>60</v>
      </c>
    </row>
    <row r="830" spans="1:31" ht="25.5" x14ac:dyDescent="0.2">
      <c r="A830" s="6" t="str">
        <f>HYPERLINK("http://www.patentics.cn/invokexml.do?sx=showpatent_cn&amp;sf=ShowPatent&amp;spn=CN101079614&amp;sx=showpatent_cn&amp;sv=0959e608e4c1f0efab93b72b6c584881","CN101079614")</f>
        <v>CN101079614</v>
      </c>
      <c r="B830" s="7" t="s">
        <v>4186</v>
      </c>
      <c r="C830" s="7" t="s">
        <v>4187</v>
      </c>
      <c r="D830" s="7" t="s">
        <v>1383</v>
      </c>
      <c r="E830" s="7" t="s">
        <v>1383</v>
      </c>
      <c r="F830" s="7" t="s">
        <v>4188</v>
      </c>
      <c r="G830" s="7" t="s">
        <v>4189</v>
      </c>
      <c r="H830" s="7" t="s">
        <v>0</v>
      </c>
      <c r="I830" s="7" t="s">
        <v>2975</v>
      </c>
      <c r="J830" s="7" t="s">
        <v>4190</v>
      </c>
      <c r="K830" s="7" t="s">
        <v>368</v>
      </c>
      <c r="L830" s="7" t="s">
        <v>3263</v>
      </c>
      <c r="M830" s="7">
        <v>3</v>
      </c>
      <c r="N830" s="7">
        <v>44</v>
      </c>
      <c r="O830" s="7" t="s">
        <v>42</v>
      </c>
      <c r="P830" s="7" t="s">
        <v>43</v>
      </c>
      <c r="Q830" s="7">
        <v>0</v>
      </c>
      <c r="R830" s="7">
        <v>0</v>
      </c>
      <c r="S830" s="7">
        <v>0</v>
      </c>
      <c r="T830" s="7">
        <v>0</v>
      </c>
      <c r="U830" s="7">
        <v>6</v>
      </c>
      <c r="V830" s="7" t="s">
        <v>4191</v>
      </c>
      <c r="W830" s="7">
        <v>0</v>
      </c>
      <c r="X830" s="7">
        <v>6</v>
      </c>
      <c r="Y830" s="7">
        <v>3</v>
      </c>
      <c r="Z830" s="7">
        <v>3</v>
      </c>
      <c r="AA830" s="7">
        <v>0</v>
      </c>
      <c r="AB830" s="7">
        <v>0</v>
      </c>
      <c r="AC830" s="7" t="s">
        <v>0</v>
      </c>
      <c r="AD830" s="7">
        <v>2</v>
      </c>
      <c r="AE830" s="7" t="s">
        <v>45</v>
      </c>
    </row>
    <row r="831" spans="1:31" ht="63.75" x14ac:dyDescent="0.2">
      <c r="A831" s="8" t="str">
        <f>HYPERLINK("http://www.patentics.cn/invokexml.do?sx=showpatent_cn&amp;sf=ShowPatent&amp;spn=US9742382&amp;sx=showpatent_cn&amp;sv=ae8a12357fe303ec31ba4316dc0b0ce4","US9742382")</f>
        <v>US9742382</v>
      </c>
      <c r="B831" s="9" t="s">
        <v>3253</v>
      </c>
      <c r="C831" s="9" t="s">
        <v>3254</v>
      </c>
      <c r="D831" s="9" t="s">
        <v>48</v>
      </c>
      <c r="E831" s="9" t="s">
        <v>49</v>
      </c>
      <c r="F831" s="9" t="s">
        <v>3255</v>
      </c>
      <c r="G831" s="9" t="s">
        <v>3256</v>
      </c>
      <c r="H831" s="9" t="s">
        <v>3257</v>
      </c>
      <c r="I831" s="9" t="s">
        <v>3257</v>
      </c>
      <c r="J831" s="9" t="s">
        <v>1325</v>
      </c>
      <c r="K831" s="9" t="s">
        <v>368</v>
      </c>
      <c r="L831" s="9" t="s">
        <v>3258</v>
      </c>
      <c r="M831" s="9">
        <v>20</v>
      </c>
      <c r="N831" s="9">
        <v>12</v>
      </c>
      <c r="O831" s="9" t="s">
        <v>57</v>
      </c>
      <c r="P831" s="9" t="s">
        <v>43</v>
      </c>
      <c r="Q831" s="9">
        <v>18</v>
      </c>
      <c r="R831" s="9">
        <v>0</v>
      </c>
      <c r="S831" s="9">
        <v>18</v>
      </c>
      <c r="T831" s="9">
        <v>14</v>
      </c>
      <c r="U831" s="9">
        <v>0</v>
      </c>
      <c r="V831" s="9" t="s">
        <v>114</v>
      </c>
      <c r="W831" s="9">
        <v>0</v>
      </c>
      <c r="X831" s="9">
        <v>0</v>
      </c>
      <c r="Y831" s="9">
        <v>0</v>
      </c>
      <c r="Z831" s="9">
        <v>0</v>
      </c>
      <c r="AA831" s="9">
        <v>6</v>
      </c>
      <c r="AB831" s="9">
        <v>6</v>
      </c>
      <c r="AC831" s="9">
        <v>14</v>
      </c>
      <c r="AD831" s="9" t="s">
        <v>0</v>
      </c>
      <c r="AE831" s="9" t="s">
        <v>60</v>
      </c>
    </row>
    <row r="832" spans="1:31" ht="51" x14ac:dyDescent="0.2">
      <c r="A832" s="8" t="str">
        <f>HYPERLINK("http://www.patentics.cn/invokexml.do?sx=showpatent_cn&amp;sf=ShowPatent&amp;spn=WO2014179944&amp;sx=showpatent_cn&amp;sv=960ef4422669d599b19b6f04058ed02b","WO2014179944")</f>
        <v>WO2014179944</v>
      </c>
      <c r="B832" s="9" t="s">
        <v>3259</v>
      </c>
      <c r="C832" s="9" t="s">
        <v>3254</v>
      </c>
      <c r="D832" s="9" t="s">
        <v>117</v>
      </c>
      <c r="E832" s="9" t="s">
        <v>49</v>
      </c>
      <c r="F832" s="9" t="s">
        <v>3260</v>
      </c>
      <c r="G832" s="9" t="s">
        <v>3261</v>
      </c>
      <c r="H832" s="9" t="s">
        <v>3257</v>
      </c>
      <c r="I832" s="9" t="s">
        <v>3257</v>
      </c>
      <c r="J832" s="9" t="s">
        <v>3262</v>
      </c>
      <c r="K832" s="9" t="s">
        <v>368</v>
      </c>
      <c r="L832" s="9" t="s">
        <v>3263</v>
      </c>
      <c r="M832" s="9">
        <v>23</v>
      </c>
      <c r="N832" s="9">
        <v>10</v>
      </c>
      <c r="O832" s="9" t="s">
        <v>850</v>
      </c>
      <c r="P832" s="9" t="s">
        <v>43</v>
      </c>
      <c r="Q832" s="9">
        <v>5</v>
      </c>
      <c r="R832" s="9">
        <v>0</v>
      </c>
      <c r="S832" s="9">
        <v>5</v>
      </c>
      <c r="T832" s="9">
        <v>5</v>
      </c>
      <c r="U832" s="9">
        <v>2</v>
      </c>
      <c r="V832" s="9" t="s">
        <v>948</v>
      </c>
      <c r="W832" s="9">
        <v>1</v>
      </c>
      <c r="X832" s="9">
        <v>1</v>
      </c>
      <c r="Y832" s="9">
        <v>2</v>
      </c>
      <c r="Z832" s="9">
        <v>2</v>
      </c>
      <c r="AA832" s="9">
        <v>6</v>
      </c>
      <c r="AB832" s="9">
        <v>6</v>
      </c>
      <c r="AC832" s="9">
        <v>14</v>
      </c>
      <c r="AD832" s="9" t="s">
        <v>0</v>
      </c>
      <c r="AE832" s="9" t="s">
        <v>0</v>
      </c>
    </row>
    <row r="833" spans="1:31" ht="51" x14ac:dyDescent="0.2">
      <c r="A833" s="6" t="str">
        <f>HYPERLINK("http://www.patentics.cn/invokexml.do?sx=showpatent_cn&amp;sf=ShowPatent&amp;spn=CN101046846&amp;sx=showpatent_cn&amp;sv=1e79ec85b6a85b269a04c51d5b633fd4","CN101046846")</f>
        <v>CN101046846</v>
      </c>
      <c r="B833" s="7" t="s">
        <v>4192</v>
      </c>
      <c r="C833" s="7" t="s">
        <v>4193</v>
      </c>
      <c r="D833" s="7" t="s">
        <v>4056</v>
      </c>
      <c r="E833" s="7" t="s">
        <v>4056</v>
      </c>
      <c r="F833" s="7" t="s">
        <v>4194</v>
      </c>
      <c r="G833" s="7" t="s">
        <v>4195</v>
      </c>
      <c r="H833" s="7" t="s">
        <v>0</v>
      </c>
      <c r="I833" s="7" t="s">
        <v>4196</v>
      </c>
      <c r="J833" s="7" t="s">
        <v>2596</v>
      </c>
      <c r="K833" s="7" t="s">
        <v>529</v>
      </c>
      <c r="L833" s="7" t="s">
        <v>1432</v>
      </c>
      <c r="M833" s="7">
        <v>6</v>
      </c>
      <c r="N833" s="7">
        <v>25</v>
      </c>
      <c r="O833" s="7" t="s">
        <v>42</v>
      </c>
      <c r="P833" s="7" t="s">
        <v>43</v>
      </c>
      <c r="Q833" s="7">
        <v>2</v>
      </c>
      <c r="R833" s="7">
        <v>0</v>
      </c>
      <c r="S833" s="7">
        <v>2</v>
      </c>
      <c r="T833" s="7">
        <v>2</v>
      </c>
      <c r="U833" s="7">
        <v>2</v>
      </c>
      <c r="V833" s="7" t="s">
        <v>1826</v>
      </c>
      <c r="W833" s="7">
        <v>0</v>
      </c>
      <c r="X833" s="7">
        <v>2</v>
      </c>
      <c r="Y833" s="7">
        <v>1</v>
      </c>
      <c r="Z833" s="7">
        <v>1</v>
      </c>
      <c r="AA833" s="7">
        <v>0</v>
      </c>
      <c r="AB833" s="7">
        <v>0</v>
      </c>
      <c r="AC833" s="7" t="s">
        <v>0</v>
      </c>
      <c r="AD833" s="7">
        <v>2</v>
      </c>
      <c r="AE833" s="7" t="s">
        <v>1390</v>
      </c>
    </row>
    <row r="834" spans="1:31" ht="165.75" x14ac:dyDescent="0.2">
      <c r="A834" s="8" t="str">
        <f>HYPERLINK("http://www.patentics.cn/invokexml.do?sx=showpatent_cn&amp;sf=ShowPatent&amp;spn=CN103026368B&amp;sx=showpatent_cn&amp;sv=326374189d263ea2a4ece8bf90c536fe","CN103026368B")</f>
        <v>CN103026368B</v>
      </c>
      <c r="B834" s="9" t="s">
        <v>3924</v>
      </c>
      <c r="C834" s="9" t="s">
        <v>3925</v>
      </c>
      <c r="D834" s="9" t="s">
        <v>301</v>
      </c>
      <c r="E834" s="9" t="s">
        <v>301</v>
      </c>
      <c r="F834" s="9" t="s">
        <v>3926</v>
      </c>
      <c r="G834" s="9" t="s">
        <v>3927</v>
      </c>
      <c r="H834" s="9" t="s">
        <v>1584</v>
      </c>
      <c r="I834" s="9" t="s">
        <v>1603</v>
      </c>
      <c r="J834" s="9" t="s">
        <v>3928</v>
      </c>
      <c r="K834" s="9" t="s">
        <v>529</v>
      </c>
      <c r="L834" s="9" t="s">
        <v>1445</v>
      </c>
      <c r="M834" s="9">
        <v>38</v>
      </c>
      <c r="N834" s="9">
        <v>13</v>
      </c>
      <c r="O834" s="9" t="s">
        <v>57</v>
      </c>
      <c r="P834" s="9" t="s">
        <v>58</v>
      </c>
      <c r="Q834" s="9">
        <v>4</v>
      </c>
      <c r="R834" s="9">
        <v>0</v>
      </c>
      <c r="S834" s="9">
        <v>4</v>
      </c>
      <c r="T834" s="9">
        <v>4</v>
      </c>
      <c r="U834" s="9">
        <v>0</v>
      </c>
      <c r="V834" s="9" t="s">
        <v>114</v>
      </c>
      <c r="W834" s="9">
        <v>0</v>
      </c>
      <c r="X834" s="9">
        <v>0</v>
      </c>
      <c r="Y834" s="9">
        <v>0</v>
      </c>
      <c r="Z834" s="9">
        <v>0</v>
      </c>
      <c r="AA834" s="9">
        <v>11</v>
      </c>
      <c r="AB834" s="9">
        <v>7</v>
      </c>
      <c r="AC834" s="9">
        <v>14</v>
      </c>
      <c r="AD834" s="9" t="s">
        <v>0</v>
      </c>
      <c r="AE834" s="9" t="s">
        <v>60</v>
      </c>
    </row>
    <row r="835" spans="1:31" ht="165.75" x14ac:dyDescent="0.2">
      <c r="A835" s="8" t="str">
        <f>HYPERLINK("http://www.patentics.cn/invokexml.do?sx=showpatent_cn&amp;sf=ShowPatent&amp;spn=CN103026368&amp;sx=showpatent_cn&amp;sv=f974ca94156017d8c3879472c1950c19","CN103026368")</f>
        <v>CN103026368</v>
      </c>
      <c r="B835" s="9" t="s">
        <v>3924</v>
      </c>
      <c r="C835" s="9" t="s">
        <v>3925</v>
      </c>
      <c r="D835" s="9" t="s">
        <v>301</v>
      </c>
      <c r="E835" s="9" t="s">
        <v>301</v>
      </c>
      <c r="F835" s="9" t="s">
        <v>3926</v>
      </c>
      <c r="G835" s="9" t="s">
        <v>3927</v>
      </c>
      <c r="H835" s="9" t="s">
        <v>1584</v>
      </c>
      <c r="I835" s="9" t="s">
        <v>1603</v>
      </c>
      <c r="J835" s="9" t="s">
        <v>3203</v>
      </c>
      <c r="K835" s="9" t="s">
        <v>529</v>
      </c>
      <c r="L835" s="9" t="s">
        <v>1445</v>
      </c>
      <c r="M835" s="9">
        <v>50</v>
      </c>
      <c r="N835" s="9">
        <v>13</v>
      </c>
      <c r="O835" s="9" t="s">
        <v>42</v>
      </c>
      <c r="P835" s="9" t="s">
        <v>58</v>
      </c>
      <c r="Q835" s="9">
        <v>4</v>
      </c>
      <c r="R835" s="9">
        <v>0</v>
      </c>
      <c r="S835" s="9">
        <v>4</v>
      </c>
      <c r="T835" s="9">
        <v>4</v>
      </c>
      <c r="U835" s="9">
        <v>0</v>
      </c>
      <c r="V835" s="9" t="s">
        <v>114</v>
      </c>
      <c r="W835" s="9">
        <v>0</v>
      </c>
      <c r="X835" s="9">
        <v>0</v>
      </c>
      <c r="Y835" s="9">
        <v>0</v>
      </c>
      <c r="Z835" s="9">
        <v>0</v>
      </c>
      <c r="AA835" s="9">
        <v>11</v>
      </c>
      <c r="AB835" s="9">
        <v>7</v>
      </c>
      <c r="AC835" s="9">
        <v>14</v>
      </c>
      <c r="AD835" s="9" t="s">
        <v>0</v>
      </c>
      <c r="AE835" s="9" t="s">
        <v>60</v>
      </c>
    </row>
    <row r="836" spans="1:31" ht="25.5" x14ac:dyDescent="0.2">
      <c r="A836" s="6" t="str">
        <f>HYPERLINK("http://www.patentics.cn/invokexml.do?sx=showpatent_cn&amp;sf=ShowPatent&amp;spn=CN101035105&amp;sx=showpatent_cn&amp;sv=b7d65f3734a9a401358da66f829050ff","CN101035105")</f>
        <v>CN101035105</v>
      </c>
      <c r="B836" s="7" t="s">
        <v>4197</v>
      </c>
      <c r="C836" s="7" t="s">
        <v>4198</v>
      </c>
      <c r="D836" s="7" t="s">
        <v>1420</v>
      </c>
      <c r="E836" s="7" t="s">
        <v>1420</v>
      </c>
      <c r="F836" s="7" t="s">
        <v>4199</v>
      </c>
      <c r="G836" s="7" t="s">
        <v>4200</v>
      </c>
      <c r="H836" s="7" t="s">
        <v>4201</v>
      </c>
      <c r="I836" s="7" t="s">
        <v>4201</v>
      </c>
      <c r="J836" s="7" t="s">
        <v>2611</v>
      </c>
      <c r="K836" s="7" t="s">
        <v>68</v>
      </c>
      <c r="L836" s="7" t="s">
        <v>281</v>
      </c>
      <c r="M836" s="7">
        <v>4</v>
      </c>
      <c r="N836" s="7">
        <v>35</v>
      </c>
      <c r="O836" s="7" t="s">
        <v>42</v>
      </c>
      <c r="P836" s="7" t="s">
        <v>43</v>
      </c>
      <c r="Q836" s="7">
        <v>0</v>
      </c>
      <c r="R836" s="7">
        <v>0</v>
      </c>
      <c r="S836" s="7">
        <v>0</v>
      </c>
      <c r="T836" s="7">
        <v>0</v>
      </c>
      <c r="U836" s="7">
        <v>33</v>
      </c>
      <c r="V836" s="7" t="s">
        <v>4202</v>
      </c>
      <c r="W836" s="7">
        <v>4</v>
      </c>
      <c r="X836" s="7">
        <v>29</v>
      </c>
      <c r="Y836" s="7">
        <v>14</v>
      </c>
      <c r="Z836" s="7">
        <v>3</v>
      </c>
      <c r="AA836" s="7">
        <v>1</v>
      </c>
      <c r="AB836" s="7">
        <v>1</v>
      </c>
      <c r="AC836" s="7" t="s">
        <v>0</v>
      </c>
      <c r="AD836" s="7">
        <v>2</v>
      </c>
      <c r="AE836" s="7" t="s">
        <v>532</v>
      </c>
    </row>
    <row r="837" spans="1:31" ht="38.25" x14ac:dyDescent="0.2">
      <c r="A837" s="8" t="str">
        <f>HYPERLINK("http://www.patentics.cn/invokexml.do?sx=showpatent_cn&amp;sf=ShowPatent&amp;spn=US8856628&amp;sx=showpatent_cn&amp;sv=c0082f2824f75b2a052a87911bd42740","US8856628")</f>
        <v>US8856628</v>
      </c>
      <c r="B837" s="9" t="s">
        <v>4203</v>
      </c>
      <c r="C837" s="9" t="s">
        <v>4204</v>
      </c>
      <c r="D837" s="9" t="s">
        <v>48</v>
      </c>
      <c r="E837" s="9" t="s">
        <v>49</v>
      </c>
      <c r="F837" s="9" t="s">
        <v>2068</v>
      </c>
      <c r="G837" s="9" t="s">
        <v>2068</v>
      </c>
      <c r="H837" s="9" t="s">
        <v>1945</v>
      </c>
      <c r="I837" s="9" t="s">
        <v>4205</v>
      </c>
      <c r="J837" s="9" t="s">
        <v>556</v>
      </c>
      <c r="K837" s="9" t="s">
        <v>1529</v>
      </c>
      <c r="L837" s="9" t="s">
        <v>3063</v>
      </c>
      <c r="M837" s="9">
        <v>14</v>
      </c>
      <c r="N837" s="9">
        <v>10</v>
      </c>
      <c r="O837" s="9" t="s">
        <v>57</v>
      </c>
      <c r="P837" s="9" t="s">
        <v>58</v>
      </c>
      <c r="Q837" s="9">
        <v>76</v>
      </c>
      <c r="R837" s="9">
        <v>10</v>
      </c>
      <c r="S837" s="9">
        <v>66</v>
      </c>
      <c r="T837" s="9">
        <v>38</v>
      </c>
      <c r="U837" s="9">
        <v>1</v>
      </c>
      <c r="V837" s="9" t="s">
        <v>114</v>
      </c>
      <c r="W837" s="9">
        <v>0</v>
      </c>
      <c r="X837" s="9">
        <v>1</v>
      </c>
      <c r="Y837" s="9">
        <v>1</v>
      </c>
      <c r="Z837" s="9">
        <v>1</v>
      </c>
      <c r="AA837" s="9">
        <v>40</v>
      </c>
      <c r="AB837" s="9">
        <v>7</v>
      </c>
      <c r="AC837" s="9">
        <v>14</v>
      </c>
      <c r="AD837" s="9" t="s">
        <v>0</v>
      </c>
      <c r="AE837" s="9" t="s">
        <v>60</v>
      </c>
    </row>
    <row r="838" spans="1:31" ht="25.5" x14ac:dyDescent="0.2">
      <c r="A838" s="8" t="str">
        <f>HYPERLINK("http://www.patentics.cn/invokexml.do?sx=showpatent_cn&amp;sf=ShowPatent&amp;spn=US8910027&amp;sx=showpatent_cn&amp;sv=432d925d20c1e3facfa050a7592d4d92","US8910027")</f>
        <v>US8910027</v>
      </c>
      <c r="B838" s="9" t="s">
        <v>4206</v>
      </c>
      <c r="C838" s="9" t="s">
        <v>4207</v>
      </c>
      <c r="D838" s="9" t="s">
        <v>48</v>
      </c>
      <c r="E838" s="9" t="s">
        <v>49</v>
      </c>
      <c r="F838" s="9" t="s">
        <v>2068</v>
      </c>
      <c r="G838" s="9" t="s">
        <v>2068</v>
      </c>
      <c r="H838" s="9" t="s">
        <v>4208</v>
      </c>
      <c r="I838" s="9" t="s">
        <v>4209</v>
      </c>
      <c r="J838" s="9" t="s">
        <v>407</v>
      </c>
      <c r="K838" s="9" t="s">
        <v>1529</v>
      </c>
      <c r="L838" s="9" t="s">
        <v>3086</v>
      </c>
      <c r="M838" s="9">
        <v>24</v>
      </c>
      <c r="N838" s="9">
        <v>17</v>
      </c>
      <c r="O838" s="9" t="s">
        <v>57</v>
      </c>
      <c r="P838" s="9" t="s">
        <v>58</v>
      </c>
      <c r="Q838" s="9">
        <v>74</v>
      </c>
      <c r="R838" s="9">
        <v>9</v>
      </c>
      <c r="S838" s="9">
        <v>65</v>
      </c>
      <c r="T838" s="9">
        <v>38</v>
      </c>
      <c r="U838" s="9">
        <v>0</v>
      </c>
      <c r="V838" s="9" t="s">
        <v>114</v>
      </c>
      <c r="W838" s="9">
        <v>0</v>
      </c>
      <c r="X838" s="9">
        <v>0</v>
      </c>
      <c r="Y838" s="9">
        <v>0</v>
      </c>
      <c r="Z838" s="9">
        <v>0</v>
      </c>
      <c r="AA838" s="9">
        <v>7</v>
      </c>
      <c r="AB838" s="9">
        <v>1</v>
      </c>
      <c r="AC838" s="9">
        <v>14</v>
      </c>
      <c r="AD838" s="9" t="s">
        <v>0</v>
      </c>
      <c r="AE838" s="9" t="s">
        <v>60</v>
      </c>
    </row>
    <row r="839" spans="1:31" ht="38.25" x14ac:dyDescent="0.2">
      <c r="A839" s="6" t="str">
        <f>HYPERLINK("http://www.patentics.cn/invokexml.do?sx=showpatent_cn&amp;sf=ShowPatent&amp;spn=CN101021849&amp;sx=showpatent_cn&amp;sv=aa917ea2113b1f4bd7adb502b197a779","CN101021849")</f>
        <v>CN101021849</v>
      </c>
      <c r="B839" s="7" t="s">
        <v>4210</v>
      </c>
      <c r="C839" s="7" t="s">
        <v>4211</v>
      </c>
      <c r="D839" s="7" t="s">
        <v>923</v>
      </c>
      <c r="E839" s="7" t="s">
        <v>923</v>
      </c>
      <c r="F839" s="7" t="s">
        <v>4212</v>
      </c>
      <c r="G839" s="7" t="s">
        <v>4213</v>
      </c>
      <c r="H839" s="7" t="s">
        <v>4214</v>
      </c>
      <c r="I839" s="7" t="s">
        <v>4214</v>
      </c>
      <c r="J839" s="7" t="s">
        <v>2996</v>
      </c>
      <c r="K839" s="7" t="s">
        <v>885</v>
      </c>
      <c r="L839" s="7" t="s">
        <v>2325</v>
      </c>
      <c r="M839" s="7">
        <v>6</v>
      </c>
      <c r="N839" s="7">
        <v>42</v>
      </c>
      <c r="O839" s="7" t="s">
        <v>42</v>
      </c>
      <c r="P839" s="7" t="s">
        <v>43</v>
      </c>
      <c r="Q839" s="7">
        <v>0</v>
      </c>
      <c r="R839" s="7">
        <v>0</v>
      </c>
      <c r="S839" s="7">
        <v>0</v>
      </c>
      <c r="T839" s="7">
        <v>0</v>
      </c>
      <c r="U839" s="7">
        <v>21</v>
      </c>
      <c r="V839" s="7" t="s">
        <v>4215</v>
      </c>
      <c r="W839" s="7">
        <v>1</v>
      </c>
      <c r="X839" s="7">
        <v>20</v>
      </c>
      <c r="Y839" s="7">
        <v>8</v>
      </c>
      <c r="Z839" s="7">
        <v>2</v>
      </c>
      <c r="AA839" s="7">
        <v>1</v>
      </c>
      <c r="AB839" s="7">
        <v>1</v>
      </c>
      <c r="AC839" s="7" t="s">
        <v>0</v>
      </c>
      <c r="AD839" s="7">
        <v>2</v>
      </c>
      <c r="AE839" s="7" t="s">
        <v>532</v>
      </c>
    </row>
    <row r="840" spans="1:31" ht="25.5" x14ac:dyDescent="0.2">
      <c r="A840" s="8" t="str">
        <f>HYPERLINK("http://www.patentics.cn/invokexml.do?sx=showpatent_cn&amp;sf=ShowPatent&amp;spn=CN102713900B&amp;sx=showpatent_cn&amp;sv=0f0c25ab9a447b28e177bbc1f3ddd11c","CN102713900B")</f>
        <v>CN102713900B</v>
      </c>
      <c r="B840" s="9" t="s">
        <v>4216</v>
      </c>
      <c r="C840" s="9" t="s">
        <v>4217</v>
      </c>
      <c r="D840" s="9" t="s">
        <v>301</v>
      </c>
      <c r="E840" s="9" t="s">
        <v>301</v>
      </c>
      <c r="F840" s="9" t="s">
        <v>4218</v>
      </c>
      <c r="G840" s="9" t="s">
        <v>4219</v>
      </c>
      <c r="H840" s="9" t="s">
        <v>4220</v>
      </c>
      <c r="I840" s="9" t="s">
        <v>2693</v>
      </c>
      <c r="J840" s="9" t="s">
        <v>2919</v>
      </c>
      <c r="K840" s="9" t="s">
        <v>885</v>
      </c>
      <c r="L840" s="9" t="s">
        <v>2325</v>
      </c>
      <c r="M840" s="9">
        <v>36</v>
      </c>
      <c r="N840" s="9">
        <v>12</v>
      </c>
      <c r="O840" s="9" t="s">
        <v>57</v>
      </c>
      <c r="P840" s="9" t="s">
        <v>58</v>
      </c>
      <c r="Q840" s="9">
        <v>5</v>
      </c>
      <c r="R840" s="9">
        <v>0</v>
      </c>
      <c r="S840" s="9">
        <v>5</v>
      </c>
      <c r="T840" s="9">
        <v>4</v>
      </c>
      <c r="U840" s="9">
        <v>0</v>
      </c>
      <c r="V840" s="9" t="s">
        <v>114</v>
      </c>
      <c r="W840" s="9">
        <v>0</v>
      </c>
      <c r="X840" s="9">
        <v>0</v>
      </c>
      <c r="Y840" s="9">
        <v>0</v>
      </c>
      <c r="Z840" s="9">
        <v>0</v>
      </c>
      <c r="AA840" s="9">
        <v>13</v>
      </c>
      <c r="AB840" s="9">
        <v>7</v>
      </c>
      <c r="AC840" s="9">
        <v>14</v>
      </c>
      <c r="AD840" s="9" t="s">
        <v>0</v>
      </c>
      <c r="AE840" s="9" t="s">
        <v>60</v>
      </c>
    </row>
    <row r="841" spans="1:31" ht="25.5" x14ac:dyDescent="0.2">
      <c r="A841" s="8" t="str">
        <f>HYPERLINK("http://www.patentics.cn/invokexml.do?sx=showpatent_cn&amp;sf=ShowPatent&amp;spn=CN102713900&amp;sx=showpatent_cn&amp;sv=3944c09259f511a6953bc4e09f06709d","CN102713900")</f>
        <v>CN102713900</v>
      </c>
      <c r="B841" s="9" t="s">
        <v>4216</v>
      </c>
      <c r="C841" s="9" t="s">
        <v>4217</v>
      </c>
      <c r="D841" s="9" t="s">
        <v>301</v>
      </c>
      <c r="E841" s="9" t="s">
        <v>301</v>
      </c>
      <c r="F841" s="9" t="s">
        <v>4218</v>
      </c>
      <c r="G841" s="9" t="s">
        <v>4219</v>
      </c>
      <c r="H841" s="9" t="s">
        <v>4220</v>
      </c>
      <c r="I841" s="9" t="s">
        <v>2693</v>
      </c>
      <c r="J841" s="9" t="s">
        <v>3917</v>
      </c>
      <c r="K841" s="9" t="s">
        <v>885</v>
      </c>
      <c r="L841" s="9" t="s">
        <v>2325</v>
      </c>
      <c r="M841" s="9">
        <v>45</v>
      </c>
      <c r="N841" s="9">
        <v>9</v>
      </c>
      <c r="O841" s="9" t="s">
        <v>42</v>
      </c>
      <c r="P841" s="9" t="s">
        <v>58</v>
      </c>
      <c r="Q841" s="9">
        <v>5</v>
      </c>
      <c r="R841" s="9">
        <v>0</v>
      </c>
      <c r="S841" s="9">
        <v>5</v>
      </c>
      <c r="T841" s="9">
        <v>4</v>
      </c>
      <c r="U841" s="9">
        <v>1</v>
      </c>
      <c r="V841" s="9" t="s">
        <v>321</v>
      </c>
      <c r="W841" s="9">
        <v>1</v>
      </c>
      <c r="X841" s="9">
        <v>0</v>
      </c>
      <c r="Y841" s="9">
        <v>1</v>
      </c>
      <c r="Z841" s="9">
        <v>1</v>
      </c>
      <c r="AA841" s="9">
        <v>13</v>
      </c>
      <c r="AB841" s="9">
        <v>7</v>
      </c>
      <c r="AC841" s="9">
        <v>14</v>
      </c>
      <c r="AD841" s="9" t="s">
        <v>0</v>
      </c>
      <c r="AE841" s="9" t="s">
        <v>60</v>
      </c>
    </row>
    <row r="842" spans="1:31" ht="63.75" x14ac:dyDescent="0.2">
      <c r="A842" s="6" t="str">
        <f>HYPERLINK("http://www.patentics.cn/invokexml.do?sx=showpatent_cn&amp;sf=ShowPatent&amp;spn=CN101014010&amp;sx=showpatent_cn&amp;sv=e7d34db1cd50cff4ecb4a668d20e776d","CN101014010")</f>
        <v>CN101014010</v>
      </c>
      <c r="B842" s="7" t="s">
        <v>4221</v>
      </c>
      <c r="C842" s="7" t="s">
        <v>4222</v>
      </c>
      <c r="D842" s="7" t="s">
        <v>3285</v>
      </c>
      <c r="E842" s="7" t="s">
        <v>3285</v>
      </c>
      <c r="F842" s="7" t="s">
        <v>4223</v>
      </c>
      <c r="G842" s="7" t="s">
        <v>4224</v>
      </c>
      <c r="H842" s="7" t="s">
        <v>4225</v>
      </c>
      <c r="I842" s="7" t="s">
        <v>4225</v>
      </c>
      <c r="J842" s="7" t="s">
        <v>1977</v>
      </c>
      <c r="K842" s="7" t="s">
        <v>68</v>
      </c>
      <c r="L842" s="7" t="s">
        <v>1946</v>
      </c>
      <c r="M842" s="7">
        <v>10</v>
      </c>
      <c r="N842" s="7">
        <v>32</v>
      </c>
      <c r="O842" s="7" t="s">
        <v>42</v>
      </c>
      <c r="P842" s="7" t="s">
        <v>43</v>
      </c>
      <c r="Q842" s="7">
        <v>0</v>
      </c>
      <c r="R842" s="7">
        <v>0</v>
      </c>
      <c r="S842" s="7">
        <v>0</v>
      </c>
      <c r="T842" s="7">
        <v>0</v>
      </c>
      <c r="U842" s="7">
        <v>20</v>
      </c>
      <c r="V842" s="7" t="s">
        <v>4226</v>
      </c>
      <c r="W842" s="7">
        <v>1</v>
      </c>
      <c r="X842" s="7">
        <v>19</v>
      </c>
      <c r="Y842" s="7">
        <v>15</v>
      </c>
      <c r="Z842" s="7">
        <v>2</v>
      </c>
      <c r="AA842" s="7">
        <v>1</v>
      </c>
      <c r="AB842" s="7">
        <v>1</v>
      </c>
      <c r="AC842" s="7" t="s">
        <v>0</v>
      </c>
      <c r="AD842" s="7">
        <v>2</v>
      </c>
      <c r="AE842" s="7" t="s">
        <v>60</v>
      </c>
    </row>
    <row r="843" spans="1:31" ht="76.5" x14ac:dyDescent="0.2">
      <c r="A843" s="8" t="str">
        <f>HYPERLINK("http://www.patentics.cn/invokexml.do?sx=showpatent_cn&amp;sf=ShowPatent&amp;spn=US8639184&amp;sx=showpatent_cn&amp;sv=e6ef6354cfde72d2e9004820f22c349f","US8639184")</f>
        <v>US8639184</v>
      </c>
      <c r="B843" s="9" t="s">
        <v>3985</v>
      </c>
      <c r="C843" s="9" t="s">
        <v>3986</v>
      </c>
      <c r="D843" s="9" t="s">
        <v>48</v>
      </c>
      <c r="E843" s="9" t="s">
        <v>49</v>
      </c>
      <c r="F843" s="9" t="s">
        <v>3987</v>
      </c>
      <c r="G843" s="9" t="s">
        <v>3988</v>
      </c>
      <c r="H843" s="9" t="s">
        <v>547</v>
      </c>
      <c r="I843" s="9" t="s">
        <v>690</v>
      </c>
      <c r="J843" s="9" t="s">
        <v>3989</v>
      </c>
      <c r="K843" s="9" t="s">
        <v>89</v>
      </c>
      <c r="L843" s="9" t="s">
        <v>548</v>
      </c>
      <c r="M843" s="9">
        <v>26</v>
      </c>
      <c r="N843" s="9">
        <v>11</v>
      </c>
      <c r="O843" s="9" t="s">
        <v>57</v>
      </c>
      <c r="P843" s="9" t="s">
        <v>58</v>
      </c>
      <c r="Q843" s="9">
        <v>29</v>
      </c>
      <c r="R843" s="9">
        <v>0</v>
      </c>
      <c r="S843" s="9">
        <v>29</v>
      </c>
      <c r="T843" s="9">
        <v>22</v>
      </c>
      <c r="U843" s="9">
        <v>1</v>
      </c>
      <c r="V843" s="9" t="s">
        <v>264</v>
      </c>
      <c r="W843" s="9">
        <v>0</v>
      </c>
      <c r="X843" s="9">
        <v>1</v>
      </c>
      <c r="Y843" s="9">
        <v>1</v>
      </c>
      <c r="Z843" s="9">
        <v>1</v>
      </c>
      <c r="AA843" s="9">
        <v>9</v>
      </c>
      <c r="AB843" s="9">
        <v>6</v>
      </c>
      <c r="AC843" s="9">
        <v>14</v>
      </c>
      <c r="AD843" s="9" t="s">
        <v>0</v>
      </c>
      <c r="AE843" s="9" t="s">
        <v>60</v>
      </c>
    </row>
    <row r="844" spans="1:31" ht="51" x14ac:dyDescent="0.2">
      <c r="A844" s="8" t="str">
        <f>HYPERLINK("http://www.patentics.cn/invokexml.do?sx=showpatent_cn&amp;sf=ShowPatent&amp;spn=CN102204398B&amp;sx=showpatent_cn&amp;sv=4867ee0decee6275c96b4aed11f59a83","CN102204398B")</f>
        <v>CN102204398B</v>
      </c>
      <c r="B844" s="9" t="s">
        <v>3990</v>
      </c>
      <c r="C844" s="9" t="s">
        <v>3991</v>
      </c>
      <c r="D844" s="9" t="s">
        <v>301</v>
      </c>
      <c r="E844" s="9" t="s">
        <v>301</v>
      </c>
      <c r="F844" s="9" t="s">
        <v>3992</v>
      </c>
      <c r="G844" s="9" t="s">
        <v>3993</v>
      </c>
      <c r="H844" s="9" t="s">
        <v>547</v>
      </c>
      <c r="I844" s="9" t="s">
        <v>1007</v>
      </c>
      <c r="J844" s="9" t="s">
        <v>3994</v>
      </c>
      <c r="K844" s="9" t="s">
        <v>55</v>
      </c>
      <c r="L844" s="9" t="s">
        <v>3995</v>
      </c>
      <c r="M844" s="9">
        <v>23</v>
      </c>
      <c r="N844" s="9">
        <v>19</v>
      </c>
      <c r="O844" s="9" t="s">
        <v>57</v>
      </c>
      <c r="P844" s="9" t="s">
        <v>58</v>
      </c>
      <c r="Q844" s="9">
        <v>6</v>
      </c>
      <c r="R844" s="9">
        <v>0</v>
      </c>
      <c r="S844" s="9">
        <v>6</v>
      </c>
      <c r="T844" s="9">
        <v>6</v>
      </c>
      <c r="U844" s="9">
        <v>0</v>
      </c>
      <c r="V844" s="9" t="s">
        <v>114</v>
      </c>
      <c r="W844" s="9">
        <v>0</v>
      </c>
      <c r="X844" s="9">
        <v>0</v>
      </c>
      <c r="Y844" s="9">
        <v>0</v>
      </c>
      <c r="Z844" s="9">
        <v>0</v>
      </c>
      <c r="AA844" s="9">
        <v>9</v>
      </c>
      <c r="AB844" s="9">
        <v>6</v>
      </c>
      <c r="AC844" s="9">
        <v>14</v>
      </c>
      <c r="AD844" s="9" t="s">
        <v>0</v>
      </c>
      <c r="AE844" s="9" t="s">
        <v>60</v>
      </c>
    </row>
    <row r="845" spans="1:31" ht="25.5" x14ac:dyDescent="0.2">
      <c r="A845" s="6" t="str">
        <f>HYPERLINK("http://www.patentics.cn/invokexml.do?sx=showpatent_cn&amp;sf=ShowPatent&amp;spn=CN101001414&amp;sx=showpatent_cn&amp;sv=34770c3fb35e2194ff40c17291c57087","CN101001414")</f>
        <v>CN101001414</v>
      </c>
      <c r="B845" s="7" t="s">
        <v>4227</v>
      </c>
      <c r="C845" s="7" t="s">
        <v>4228</v>
      </c>
      <c r="D845" s="7" t="s">
        <v>432</v>
      </c>
      <c r="E845" s="7" t="s">
        <v>432</v>
      </c>
      <c r="F845" s="7" t="s">
        <v>4229</v>
      </c>
      <c r="G845" s="7" t="s">
        <v>4230</v>
      </c>
      <c r="H845" s="7" t="s">
        <v>4231</v>
      </c>
      <c r="I845" s="7" t="s">
        <v>4231</v>
      </c>
      <c r="J845" s="7" t="s">
        <v>2635</v>
      </c>
      <c r="K845" s="7" t="s">
        <v>96</v>
      </c>
      <c r="L845" s="7" t="s">
        <v>4232</v>
      </c>
      <c r="M845" s="7">
        <v>4</v>
      </c>
      <c r="N845" s="7">
        <v>9</v>
      </c>
      <c r="O845" s="7" t="s">
        <v>42</v>
      </c>
      <c r="P845" s="7" t="s">
        <v>43</v>
      </c>
      <c r="Q845" s="7">
        <v>0</v>
      </c>
      <c r="R845" s="7">
        <v>0</v>
      </c>
      <c r="S845" s="7">
        <v>0</v>
      </c>
      <c r="T845" s="7">
        <v>0</v>
      </c>
      <c r="U845" s="7">
        <v>5</v>
      </c>
      <c r="V845" s="7" t="s">
        <v>4233</v>
      </c>
      <c r="W845" s="7">
        <v>2</v>
      </c>
      <c r="X845" s="7">
        <v>3</v>
      </c>
      <c r="Y845" s="7">
        <v>3</v>
      </c>
      <c r="Z845" s="7">
        <v>2</v>
      </c>
      <c r="AA845" s="7">
        <v>1</v>
      </c>
      <c r="AB845" s="7">
        <v>1</v>
      </c>
      <c r="AC845" s="7" t="s">
        <v>0</v>
      </c>
      <c r="AD845" s="7">
        <v>2</v>
      </c>
      <c r="AE845" s="7" t="s">
        <v>532</v>
      </c>
    </row>
    <row r="846" spans="1:31" ht="38.25" x14ac:dyDescent="0.2">
      <c r="A846" s="8" t="str">
        <f>HYPERLINK("http://www.patentics.cn/invokexml.do?sx=showpatent_cn&amp;sf=ShowPatent&amp;spn=US9288690&amp;sx=showpatent_cn&amp;sv=8707066c3aed5da2c105f4264f53597b","US9288690")</f>
        <v>US9288690</v>
      </c>
      <c r="B846" s="9" t="s">
        <v>4234</v>
      </c>
      <c r="C846" s="9" t="s">
        <v>4235</v>
      </c>
      <c r="D846" s="9" t="s">
        <v>48</v>
      </c>
      <c r="E846" s="9" t="s">
        <v>49</v>
      </c>
      <c r="F846" s="9" t="s">
        <v>4236</v>
      </c>
      <c r="G846" s="9" t="s">
        <v>4237</v>
      </c>
      <c r="H846" s="9" t="s">
        <v>1162</v>
      </c>
      <c r="I846" s="9" t="s">
        <v>4238</v>
      </c>
      <c r="J846" s="9" t="s">
        <v>1805</v>
      </c>
      <c r="K846" s="9" t="s">
        <v>55</v>
      </c>
      <c r="L846" s="9" t="s">
        <v>4239</v>
      </c>
      <c r="M846" s="9">
        <v>34</v>
      </c>
      <c r="N846" s="9">
        <v>11</v>
      </c>
      <c r="O846" s="9" t="s">
        <v>57</v>
      </c>
      <c r="P846" s="9" t="s">
        <v>58</v>
      </c>
      <c r="Q846" s="9">
        <v>76</v>
      </c>
      <c r="R846" s="9">
        <v>8</v>
      </c>
      <c r="S846" s="9">
        <v>68</v>
      </c>
      <c r="T846" s="9">
        <v>31</v>
      </c>
      <c r="U846" s="9">
        <v>1</v>
      </c>
      <c r="V846" s="9" t="s">
        <v>769</v>
      </c>
      <c r="W846" s="9">
        <v>0</v>
      </c>
      <c r="X846" s="9">
        <v>1</v>
      </c>
      <c r="Y846" s="9">
        <v>1</v>
      </c>
      <c r="Z846" s="9">
        <v>1</v>
      </c>
      <c r="AA846" s="9">
        <v>13</v>
      </c>
      <c r="AB846" s="9">
        <v>6</v>
      </c>
      <c r="AC846" s="9">
        <v>14</v>
      </c>
      <c r="AD846" s="9" t="s">
        <v>0</v>
      </c>
      <c r="AE846" s="9" t="s">
        <v>60</v>
      </c>
    </row>
    <row r="847" spans="1:31" ht="76.5" x14ac:dyDescent="0.2">
      <c r="A847" s="8" t="str">
        <f>HYPERLINK("http://www.patentics.cn/invokexml.do?sx=showpatent_cn&amp;sf=ShowPatent&amp;spn=US9521554&amp;sx=showpatent_cn&amp;sv=1f4c053217efb689298f68a3bd74e333","US9521554")</f>
        <v>US9521554</v>
      </c>
      <c r="B847" s="9" t="s">
        <v>4240</v>
      </c>
      <c r="C847" s="9" t="s">
        <v>4241</v>
      </c>
      <c r="D847" s="9" t="s">
        <v>48</v>
      </c>
      <c r="E847" s="9" t="s">
        <v>49</v>
      </c>
      <c r="F847" s="9" t="s">
        <v>4242</v>
      </c>
      <c r="G847" s="9" t="s">
        <v>4243</v>
      </c>
      <c r="H847" s="9" t="s">
        <v>665</v>
      </c>
      <c r="I847" s="9" t="s">
        <v>4244</v>
      </c>
      <c r="J847" s="9" t="s">
        <v>285</v>
      </c>
      <c r="K847" s="9" t="s">
        <v>885</v>
      </c>
      <c r="L847" s="9" t="s">
        <v>1014</v>
      </c>
      <c r="M847" s="9">
        <v>34</v>
      </c>
      <c r="N847" s="9">
        <v>16</v>
      </c>
      <c r="O847" s="9" t="s">
        <v>57</v>
      </c>
      <c r="P847" s="9" t="s">
        <v>58</v>
      </c>
      <c r="Q847" s="9">
        <v>73</v>
      </c>
      <c r="R847" s="9">
        <v>8</v>
      </c>
      <c r="S847" s="9">
        <v>65</v>
      </c>
      <c r="T847" s="9">
        <v>30</v>
      </c>
      <c r="U847" s="9">
        <v>0</v>
      </c>
      <c r="V847" s="9" t="s">
        <v>114</v>
      </c>
      <c r="W847" s="9">
        <v>0</v>
      </c>
      <c r="X847" s="9">
        <v>0</v>
      </c>
      <c r="Y847" s="9">
        <v>0</v>
      </c>
      <c r="Z847" s="9">
        <v>0</v>
      </c>
      <c r="AA847" s="9">
        <v>10</v>
      </c>
      <c r="AB847" s="9">
        <v>7</v>
      </c>
      <c r="AC847" s="9">
        <v>14</v>
      </c>
      <c r="AD847" s="9" t="s">
        <v>0</v>
      </c>
      <c r="AE847" s="9" t="s">
        <v>60</v>
      </c>
    </row>
    <row r="848" spans="1:31" ht="51" x14ac:dyDescent="0.2">
      <c r="A848" s="6" t="str">
        <f>HYPERLINK("http://www.patentics.cn/invokexml.do?sx=showpatent_cn&amp;sf=ShowPatent&amp;spn=CN101001261&amp;sx=showpatent_cn&amp;sv=0a6eb8283f7731ab29d14e2030360889","CN101001261")</f>
        <v>CN101001261</v>
      </c>
      <c r="B848" s="7" t="s">
        <v>4245</v>
      </c>
      <c r="C848" s="7" t="s">
        <v>4246</v>
      </c>
      <c r="D848" s="7" t="s">
        <v>4247</v>
      </c>
      <c r="E848" s="7" t="s">
        <v>4247</v>
      </c>
      <c r="F848" s="7" t="s">
        <v>4248</v>
      </c>
      <c r="G848" s="7" t="s">
        <v>4249</v>
      </c>
      <c r="H848" s="7" t="s">
        <v>4250</v>
      </c>
      <c r="I848" s="7" t="s">
        <v>4250</v>
      </c>
      <c r="J848" s="7" t="s">
        <v>2635</v>
      </c>
      <c r="K848" s="7" t="s">
        <v>68</v>
      </c>
      <c r="L848" s="7" t="s">
        <v>4251</v>
      </c>
      <c r="M848" s="7">
        <v>5</v>
      </c>
      <c r="N848" s="7">
        <v>19</v>
      </c>
      <c r="O848" s="7" t="s">
        <v>42</v>
      </c>
      <c r="P848" s="7" t="s">
        <v>43</v>
      </c>
      <c r="Q848" s="7">
        <v>0</v>
      </c>
      <c r="R848" s="7">
        <v>0</v>
      </c>
      <c r="S848" s="7">
        <v>0</v>
      </c>
      <c r="T848" s="7">
        <v>0</v>
      </c>
      <c r="U848" s="7">
        <v>11</v>
      </c>
      <c r="V848" s="7" t="s">
        <v>4252</v>
      </c>
      <c r="W848" s="7">
        <v>7</v>
      </c>
      <c r="X848" s="7">
        <v>4</v>
      </c>
      <c r="Y848" s="7">
        <v>4</v>
      </c>
      <c r="Z848" s="7">
        <v>3</v>
      </c>
      <c r="AA848" s="7">
        <v>6</v>
      </c>
      <c r="AB848" s="7">
        <v>4</v>
      </c>
      <c r="AC848" s="7" t="s">
        <v>0</v>
      </c>
      <c r="AD848" s="7">
        <v>2</v>
      </c>
      <c r="AE848" s="7" t="s">
        <v>532</v>
      </c>
    </row>
    <row r="849" spans="1:31" ht="51" x14ac:dyDescent="0.2">
      <c r="A849" s="8" t="str">
        <f>HYPERLINK("http://www.patentics.cn/invokexml.do?sx=showpatent_cn&amp;sf=ShowPatent&amp;spn=US8737316&amp;sx=showpatent_cn&amp;sv=df85ed3ad8ca7efadf82d3b3818ea5bb","US8737316")</f>
        <v>US8737316</v>
      </c>
      <c r="B849" s="9" t="s">
        <v>4253</v>
      </c>
      <c r="C849" s="9" t="s">
        <v>4254</v>
      </c>
      <c r="D849" s="9" t="s">
        <v>48</v>
      </c>
      <c r="E849" s="9" t="s">
        <v>49</v>
      </c>
      <c r="F849" s="9" t="s">
        <v>4255</v>
      </c>
      <c r="G849" s="9" t="s">
        <v>4098</v>
      </c>
      <c r="H849" s="9" t="s">
        <v>4256</v>
      </c>
      <c r="I849" s="9" t="s">
        <v>4256</v>
      </c>
      <c r="J849" s="9" t="s">
        <v>4257</v>
      </c>
      <c r="K849" s="9" t="s">
        <v>55</v>
      </c>
      <c r="L849" s="9" t="s">
        <v>56</v>
      </c>
      <c r="M849" s="9">
        <v>25</v>
      </c>
      <c r="N849" s="9">
        <v>15</v>
      </c>
      <c r="O849" s="9" t="s">
        <v>57</v>
      </c>
      <c r="P849" s="9" t="s">
        <v>58</v>
      </c>
      <c r="Q849" s="9">
        <v>15</v>
      </c>
      <c r="R849" s="9">
        <v>0</v>
      </c>
      <c r="S849" s="9">
        <v>15</v>
      </c>
      <c r="T849" s="9">
        <v>6</v>
      </c>
      <c r="U849" s="9">
        <v>1</v>
      </c>
      <c r="V849" s="9" t="s">
        <v>264</v>
      </c>
      <c r="W849" s="9">
        <v>0</v>
      </c>
      <c r="X849" s="9">
        <v>1</v>
      </c>
      <c r="Y849" s="9">
        <v>1</v>
      </c>
      <c r="Z849" s="9">
        <v>1</v>
      </c>
      <c r="AA849" s="9">
        <v>10</v>
      </c>
      <c r="AB849" s="9">
        <v>7</v>
      </c>
      <c r="AC849" s="9">
        <v>14</v>
      </c>
      <c r="AD849" s="9" t="s">
        <v>0</v>
      </c>
      <c r="AE849" s="9" t="s">
        <v>60</v>
      </c>
    </row>
    <row r="850" spans="1:31" ht="38.25" x14ac:dyDescent="0.2">
      <c r="A850" s="8" t="str">
        <f>HYPERLINK("http://www.patentics.cn/invokexml.do?sx=showpatent_cn&amp;sf=ShowPatent&amp;spn=CN102415075&amp;sx=showpatent_cn&amp;sv=2e279de8adc65c3af5f3c07a55464b79","CN102415075")</f>
        <v>CN102415075</v>
      </c>
      <c r="B850" s="9" t="s">
        <v>4258</v>
      </c>
      <c r="C850" s="9" t="s">
        <v>4259</v>
      </c>
      <c r="D850" s="9" t="s">
        <v>301</v>
      </c>
      <c r="E850" s="9" t="s">
        <v>301</v>
      </c>
      <c r="F850" s="9" t="s">
        <v>4260</v>
      </c>
      <c r="G850" s="9" t="s">
        <v>4103</v>
      </c>
      <c r="H850" s="9" t="s">
        <v>4256</v>
      </c>
      <c r="I850" s="9" t="s">
        <v>4261</v>
      </c>
      <c r="J850" s="9" t="s">
        <v>2874</v>
      </c>
      <c r="K850" s="9" t="s">
        <v>68</v>
      </c>
      <c r="L850" s="9" t="s">
        <v>2336</v>
      </c>
      <c r="M850" s="9">
        <v>31</v>
      </c>
      <c r="N850" s="9">
        <v>18</v>
      </c>
      <c r="O850" s="9" t="s">
        <v>42</v>
      </c>
      <c r="P850" s="9" t="s">
        <v>58</v>
      </c>
      <c r="Q850" s="9">
        <v>5</v>
      </c>
      <c r="R850" s="9">
        <v>0</v>
      </c>
      <c r="S850" s="9">
        <v>5</v>
      </c>
      <c r="T850" s="9">
        <v>3</v>
      </c>
      <c r="U850" s="9">
        <v>0</v>
      </c>
      <c r="V850" s="9" t="s">
        <v>114</v>
      </c>
      <c r="W850" s="9">
        <v>0</v>
      </c>
      <c r="X850" s="9">
        <v>0</v>
      </c>
      <c r="Y850" s="9">
        <v>0</v>
      </c>
      <c r="Z850" s="9">
        <v>0</v>
      </c>
      <c r="AA850" s="9">
        <v>10</v>
      </c>
      <c r="AB850" s="9">
        <v>7</v>
      </c>
      <c r="AC850" s="9">
        <v>14</v>
      </c>
      <c r="AD850" s="9" t="s">
        <v>0</v>
      </c>
      <c r="AE850" s="9" t="s">
        <v>60</v>
      </c>
    </row>
    <row r="851" spans="1:31" ht="25.5" x14ac:dyDescent="0.2">
      <c r="A851" s="6" t="str">
        <f>HYPERLINK("http://www.patentics.cn/invokexml.do?sx=showpatent_cn&amp;sf=ShowPatent&amp;spn=CN1976514&amp;sx=showpatent_cn&amp;sv=0fb1c08933a32fa4f30133bb68385f45","CN1976514")</f>
        <v>CN1976514</v>
      </c>
      <c r="B851" s="7" t="s">
        <v>4262</v>
      </c>
      <c r="C851" s="7" t="s">
        <v>4263</v>
      </c>
      <c r="D851" s="7" t="s">
        <v>4264</v>
      </c>
      <c r="E851" s="7" t="s">
        <v>4264</v>
      </c>
      <c r="F851" s="7" t="s">
        <v>4265</v>
      </c>
      <c r="G851" s="7" t="s">
        <v>4265</v>
      </c>
      <c r="H851" s="7" t="s">
        <v>4266</v>
      </c>
      <c r="I851" s="7" t="s">
        <v>4266</v>
      </c>
      <c r="J851" s="7" t="s">
        <v>4267</v>
      </c>
      <c r="K851" s="7" t="s">
        <v>96</v>
      </c>
      <c r="L851" s="7" t="s">
        <v>4268</v>
      </c>
      <c r="M851" s="7">
        <v>3</v>
      </c>
      <c r="N851" s="7">
        <v>30</v>
      </c>
      <c r="O851" s="7" t="s">
        <v>42</v>
      </c>
      <c r="P851" s="7" t="s">
        <v>43</v>
      </c>
      <c r="Q851" s="7">
        <v>0</v>
      </c>
      <c r="R851" s="7">
        <v>0</v>
      </c>
      <c r="S851" s="7">
        <v>0</v>
      </c>
      <c r="T851" s="7">
        <v>0</v>
      </c>
      <c r="U851" s="7">
        <v>16</v>
      </c>
      <c r="V851" s="7" t="s">
        <v>4269</v>
      </c>
      <c r="W851" s="7">
        <v>0</v>
      </c>
      <c r="X851" s="7">
        <v>16</v>
      </c>
      <c r="Y851" s="7">
        <v>8</v>
      </c>
      <c r="Z851" s="7">
        <v>3</v>
      </c>
      <c r="AA851" s="7">
        <v>1</v>
      </c>
      <c r="AB851" s="7">
        <v>1</v>
      </c>
      <c r="AC851" s="7" t="s">
        <v>0</v>
      </c>
      <c r="AD851" s="7">
        <v>2</v>
      </c>
      <c r="AE851" s="7" t="s">
        <v>60</v>
      </c>
    </row>
    <row r="852" spans="1:31" ht="63.75" x14ac:dyDescent="0.2">
      <c r="A852" s="8" t="str">
        <f>HYPERLINK("http://www.patentics.cn/invokexml.do?sx=showpatent_cn&amp;sf=ShowPatent&amp;spn=US8874111&amp;sx=showpatent_cn&amp;sv=137d18f1789efc66b94efc12610f120c","US8874111")</f>
        <v>US8874111</v>
      </c>
      <c r="B852" s="9" t="s">
        <v>4270</v>
      </c>
      <c r="C852" s="9" t="s">
        <v>4271</v>
      </c>
      <c r="D852" s="9" t="s">
        <v>48</v>
      </c>
      <c r="E852" s="9" t="s">
        <v>49</v>
      </c>
      <c r="F852" s="9" t="s">
        <v>4272</v>
      </c>
      <c r="G852" s="9" t="s">
        <v>2616</v>
      </c>
      <c r="H852" s="9" t="s">
        <v>4273</v>
      </c>
      <c r="I852" s="9" t="s">
        <v>4273</v>
      </c>
      <c r="J852" s="9" t="s">
        <v>804</v>
      </c>
      <c r="K852" s="9" t="s">
        <v>55</v>
      </c>
      <c r="L852" s="9" t="s">
        <v>2234</v>
      </c>
      <c r="M852" s="9">
        <v>12</v>
      </c>
      <c r="N852" s="9">
        <v>15</v>
      </c>
      <c r="O852" s="9" t="s">
        <v>57</v>
      </c>
      <c r="P852" s="9" t="s">
        <v>58</v>
      </c>
      <c r="Q852" s="9">
        <v>13</v>
      </c>
      <c r="R852" s="9">
        <v>0</v>
      </c>
      <c r="S852" s="9">
        <v>13</v>
      </c>
      <c r="T852" s="9">
        <v>9</v>
      </c>
      <c r="U852" s="9">
        <v>0</v>
      </c>
      <c r="V852" s="9" t="s">
        <v>114</v>
      </c>
      <c r="W852" s="9">
        <v>0</v>
      </c>
      <c r="X852" s="9">
        <v>0</v>
      </c>
      <c r="Y852" s="9">
        <v>0</v>
      </c>
      <c r="Z852" s="9">
        <v>0</v>
      </c>
      <c r="AA852" s="9">
        <v>5</v>
      </c>
      <c r="AB852" s="9">
        <v>3</v>
      </c>
      <c r="AC852" s="9">
        <v>14</v>
      </c>
      <c r="AD852" s="9" t="s">
        <v>0</v>
      </c>
      <c r="AE852" s="9" t="s">
        <v>60</v>
      </c>
    </row>
    <row r="853" spans="1:31" ht="25.5" x14ac:dyDescent="0.2">
      <c r="A853" s="8" t="str">
        <f>HYPERLINK("http://www.patentics.cn/invokexml.do?sx=showpatent_cn&amp;sf=ShowPatent&amp;spn=CN102550100&amp;sx=showpatent_cn&amp;sv=5931e698e759411b5d3f099f27f5e14f","CN102550100")</f>
        <v>CN102550100</v>
      </c>
      <c r="B853" s="9" t="s">
        <v>4274</v>
      </c>
      <c r="C853" s="9" t="s">
        <v>4275</v>
      </c>
      <c r="D853" s="9" t="s">
        <v>301</v>
      </c>
      <c r="E853" s="9" t="s">
        <v>301</v>
      </c>
      <c r="F853" s="9" t="s">
        <v>4276</v>
      </c>
      <c r="G853" s="9" t="s">
        <v>2628</v>
      </c>
      <c r="H853" s="9" t="s">
        <v>4273</v>
      </c>
      <c r="I853" s="9" t="s">
        <v>4277</v>
      </c>
      <c r="J853" s="9" t="s">
        <v>1908</v>
      </c>
      <c r="K853" s="9" t="s">
        <v>55</v>
      </c>
      <c r="L853" s="9" t="s">
        <v>2940</v>
      </c>
      <c r="M853" s="9">
        <v>16</v>
      </c>
      <c r="N853" s="9">
        <v>10</v>
      </c>
      <c r="O853" s="9" t="s">
        <v>42</v>
      </c>
      <c r="P853" s="9" t="s">
        <v>58</v>
      </c>
      <c r="Q853" s="9">
        <v>4</v>
      </c>
      <c r="R853" s="9">
        <v>0</v>
      </c>
      <c r="S853" s="9">
        <v>4</v>
      </c>
      <c r="T853" s="9">
        <v>4</v>
      </c>
      <c r="U853" s="9">
        <v>10</v>
      </c>
      <c r="V853" s="9" t="s">
        <v>4278</v>
      </c>
      <c r="W853" s="9">
        <v>1</v>
      </c>
      <c r="X853" s="9">
        <v>9</v>
      </c>
      <c r="Y853" s="9">
        <v>7</v>
      </c>
      <c r="Z853" s="9">
        <v>1</v>
      </c>
      <c r="AA853" s="9">
        <v>5</v>
      </c>
      <c r="AB853" s="9">
        <v>3</v>
      </c>
      <c r="AC853" s="9">
        <v>14</v>
      </c>
      <c r="AD853" s="9" t="s">
        <v>0</v>
      </c>
      <c r="AE853" s="9" t="s">
        <v>60</v>
      </c>
    </row>
    <row r="854" spans="1:31" ht="51" x14ac:dyDescent="0.2">
      <c r="A854" s="6" t="str">
        <f>HYPERLINK("http://www.patentics.cn/invokexml.do?sx=showpatent_cn&amp;sf=ShowPatent&amp;spn=CN1963561&amp;sx=showpatent_cn&amp;sv=63c6727d704f6bb958995323a5b2c900","CN1963561")</f>
        <v>CN1963561</v>
      </c>
      <c r="B854" s="7" t="s">
        <v>4279</v>
      </c>
      <c r="C854" s="7" t="s">
        <v>4280</v>
      </c>
      <c r="D854" s="7" t="s">
        <v>1383</v>
      </c>
      <c r="E854" s="7" t="s">
        <v>1383</v>
      </c>
      <c r="F854" s="7" t="s">
        <v>4281</v>
      </c>
      <c r="G854" s="7" t="s">
        <v>4282</v>
      </c>
      <c r="H854" s="7" t="s">
        <v>4283</v>
      </c>
      <c r="I854" s="7" t="s">
        <v>4283</v>
      </c>
      <c r="J854" s="7" t="s">
        <v>4284</v>
      </c>
      <c r="K854" s="7" t="s">
        <v>1142</v>
      </c>
      <c r="L854" s="7" t="s">
        <v>4285</v>
      </c>
      <c r="M854" s="7">
        <v>4</v>
      </c>
      <c r="N854" s="7">
        <v>145</v>
      </c>
      <c r="O854" s="7" t="s">
        <v>42</v>
      </c>
      <c r="P854" s="7" t="s">
        <v>43</v>
      </c>
      <c r="Q854" s="7">
        <v>1</v>
      </c>
      <c r="R854" s="7">
        <v>0</v>
      </c>
      <c r="S854" s="7">
        <v>1</v>
      </c>
      <c r="T854" s="7">
        <v>1</v>
      </c>
      <c r="U854" s="7">
        <v>24</v>
      </c>
      <c r="V854" s="7" t="s">
        <v>4286</v>
      </c>
      <c r="W854" s="7">
        <v>0</v>
      </c>
      <c r="X854" s="7">
        <v>24</v>
      </c>
      <c r="Y854" s="7">
        <v>16</v>
      </c>
      <c r="Z854" s="7">
        <v>2</v>
      </c>
      <c r="AA854" s="7">
        <v>1</v>
      </c>
      <c r="AB854" s="7">
        <v>1</v>
      </c>
      <c r="AC854" s="7" t="s">
        <v>0</v>
      </c>
      <c r="AD854" s="7">
        <v>2</v>
      </c>
      <c r="AE854" s="7" t="s">
        <v>60</v>
      </c>
    </row>
    <row r="855" spans="1:31" ht="76.5" x14ac:dyDescent="0.2">
      <c r="A855" s="8" t="str">
        <f>HYPERLINK("http://www.patentics.cn/invokexml.do?sx=showpatent_cn&amp;sf=ShowPatent&amp;spn=US9476966&amp;sx=showpatent_cn&amp;sv=eff65a27439ebdfd92cb1b24e3f13bdf","US9476966")</f>
        <v>US9476966</v>
      </c>
      <c r="B855" s="9" t="s">
        <v>4287</v>
      </c>
      <c r="C855" s="9" t="s">
        <v>4288</v>
      </c>
      <c r="D855" s="9" t="s">
        <v>48</v>
      </c>
      <c r="E855" s="9" t="s">
        <v>49</v>
      </c>
      <c r="F855" s="9" t="s">
        <v>4289</v>
      </c>
      <c r="G855" s="9" t="s">
        <v>1135</v>
      </c>
      <c r="H855" s="9" t="s">
        <v>2256</v>
      </c>
      <c r="I855" s="9" t="s">
        <v>2256</v>
      </c>
      <c r="J855" s="9" t="s">
        <v>3630</v>
      </c>
      <c r="K855" s="9" t="s">
        <v>1142</v>
      </c>
      <c r="L855" s="9" t="s">
        <v>1150</v>
      </c>
      <c r="M855" s="9">
        <v>40</v>
      </c>
      <c r="N855" s="9">
        <v>12</v>
      </c>
      <c r="O855" s="9" t="s">
        <v>57</v>
      </c>
      <c r="P855" s="9" t="s">
        <v>58</v>
      </c>
      <c r="Q855" s="9">
        <v>21</v>
      </c>
      <c r="R855" s="9">
        <v>4</v>
      </c>
      <c r="S855" s="9">
        <v>17</v>
      </c>
      <c r="T855" s="9">
        <v>12</v>
      </c>
      <c r="U855" s="9">
        <v>0</v>
      </c>
      <c r="V855" s="9" t="s">
        <v>114</v>
      </c>
      <c r="W855" s="9">
        <v>0</v>
      </c>
      <c r="X855" s="9">
        <v>0</v>
      </c>
      <c r="Y855" s="9">
        <v>0</v>
      </c>
      <c r="Z855" s="9">
        <v>0</v>
      </c>
      <c r="AA855" s="9">
        <v>7</v>
      </c>
      <c r="AB855" s="9">
        <v>6</v>
      </c>
      <c r="AC855" s="9">
        <v>14</v>
      </c>
      <c r="AD855" s="9" t="s">
        <v>0</v>
      </c>
      <c r="AE855" s="9" t="s">
        <v>60</v>
      </c>
    </row>
    <row r="856" spans="1:31" ht="51" x14ac:dyDescent="0.2">
      <c r="A856" s="8" t="str">
        <f>HYPERLINK("http://www.patentics.cn/invokexml.do?sx=showpatent_cn&amp;sf=ShowPatent&amp;spn=CN104136934B&amp;sx=showpatent_cn&amp;sv=1761048bb6e633b4cdc2e182ddb6cc87","CN104136934B")</f>
        <v>CN104136934B</v>
      </c>
      <c r="B856" s="9" t="s">
        <v>4290</v>
      </c>
      <c r="C856" s="9" t="s">
        <v>4291</v>
      </c>
      <c r="D856" s="9" t="s">
        <v>301</v>
      </c>
      <c r="E856" s="9" t="s">
        <v>301</v>
      </c>
      <c r="F856" s="9" t="s">
        <v>4292</v>
      </c>
      <c r="G856" s="9" t="s">
        <v>4293</v>
      </c>
      <c r="H856" s="9" t="s">
        <v>2256</v>
      </c>
      <c r="I856" s="9" t="s">
        <v>4294</v>
      </c>
      <c r="J856" s="9" t="s">
        <v>3832</v>
      </c>
      <c r="K856" s="9" t="s">
        <v>1142</v>
      </c>
      <c r="L856" s="9" t="s">
        <v>1143</v>
      </c>
      <c r="M856" s="9">
        <v>30</v>
      </c>
      <c r="N856" s="9">
        <v>11</v>
      </c>
      <c r="O856" s="9" t="s">
        <v>57</v>
      </c>
      <c r="P856" s="9" t="s">
        <v>58</v>
      </c>
      <c r="Q856" s="9">
        <v>6</v>
      </c>
      <c r="R856" s="9">
        <v>1</v>
      </c>
      <c r="S856" s="9">
        <v>5</v>
      </c>
      <c r="T856" s="9">
        <v>6</v>
      </c>
      <c r="U856" s="9">
        <v>0</v>
      </c>
      <c r="V856" s="9" t="s">
        <v>114</v>
      </c>
      <c r="W856" s="9">
        <v>0</v>
      </c>
      <c r="X856" s="9">
        <v>0</v>
      </c>
      <c r="Y856" s="9">
        <v>0</v>
      </c>
      <c r="Z856" s="9">
        <v>0</v>
      </c>
      <c r="AA856" s="9">
        <v>7</v>
      </c>
      <c r="AB856" s="9">
        <v>6</v>
      </c>
      <c r="AC856" s="9">
        <v>14</v>
      </c>
      <c r="AD856" s="9" t="s">
        <v>0</v>
      </c>
      <c r="AE856" s="9" t="s">
        <v>60</v>
      </c>
    </row>
    <row r="857" spans="1:31" ht="25.5" x14ac:dyDescent="0.2">
      <c r="A857" s="6" t="str">
        <f>HYPERLINK("http://www.patentics.cn/invokexml.do?sx=showpatent_cn&amp;sf=ShowPatent&amp;spn=CN1937579&amp;sx=showpatent_cn&amp;sv=0cc360aecbef0cc207a30c0b267c9999","CN1937579")</f>
        <v>CN1937579</v>
      </c>
      <c r="B857" s="7" t="s">
        <v>4295</v>
      </c>
      <c r="C857" s="7" t="s">
        <v>4296</v>
      </c>
      <c r="D857" s="7" t="s">
        <v>3285</v>
      </c>
      <c r="E857" s="7" t="s">
        <v>3285</v>
      </c>
      <c r="F857" s="7" t="s">
        <v>4297</v>
      </c>
      <c r="G857" s="7" t="s">
        <v>4297</v>
      </c>
      <c r="H857" s="7" t="s">
        <v>4298</v>
      </c>
      <c r="I857" s="7" t="s">
        <v>4298</v>
      </c>
      <c r="J857" s="7" t="s">
        <v>4299</v>
      </c>
      <c r="K857" s="7" t="s">
        <v>68</v>
      </c>
      <c r="L857" s="7" t="s">
        <v>1946</v>
      </c>
      <c r="M857" s="7">
        <v>4</v>
      </c>
      <c r="N857" s="7">
        <v>21</v>
      </c>
      <c r="O857" s="7" t="s">
        <v>42</v>
      </c>
      <c r="P857" s="7" t="s">
        <v>43</v>
      </c>
      <c r="Q857" s="7">
        <v>0</v>
      </c>
      <c r="R857" s="7">
        <v>0</v>
      </c>
      <c r="S857" s="7">
        <v>0</v>
      </c>
      <c r="T857" s="7">
        <v>0</v>
      </c>
      <c r="U857" s="7">
        <v>7</v>
      </c>
      <c r="V857" s="7" t="s">
        <v>3034</v>
      </c>
      <c r="W857" s="7">
        <v>0</v>
      </c>
      <c r="X857" s="7">
        <v>7</v>
      </c>
      <c r="Y857" s="7">
        <v>5</v>
      </c>
      <c r="Z857" s="7">
        <v>2</v>
      </c>
      <c r="AA857" s="7">
        <v>1</v>
      </c>
      <c r="AB857" s="7">
        <v>1</v>
      </c>
      <c r="AC857" s="7" t="s">
        <v>0</v>
      </c>
      <c r="AD857" s="7">
        <v>2</v>
      </c>
      <c r="AE857" s="7" t="s">
        <v>532</v>
      </c>
    </row>
    <row r="858" spans="1:31" ht="127.5" x14ac:dyDescent="0.2">
      <c r="A858" s="8" t="str">
        <f>HYPERLINK("http://www.patentics.cn/invokexml.do?sx=showpatent_cn&amp;sf=ShowPatent&amp;spn=US8780732&amp;sx=showpatent_cn&amp;sv=8d493342792d2b9100379fc5f846fedc","US8780732")</f>
        <v>US8780732</v>
      </c>
      <c r="B858" s="9" t="s">
        <v>4300</v>
      </c>
      <c r="C858" s="9" t="s">
        <v>4301</v>
      </c>
      <c r="D858" s="9" t="s">
        <v>48</v>
      </c>
      <c r="E858" s="9" t="s">
        <v>49</v>
      </c>
      <c r="F858" s="9" t="s">
        <v>4302</v>
      </c>
      <c r="G858" s="9" t="s">
        <v>4303</v>
      </c>
      <c r="H858" s="9" t="s">
        <v>4304</v>
      </c>
      <c r="I858" s="9" t="s">
        <v>4305</v>
      </c>
      <c r="J858" s="9" t="s">
        <v>2931</v>
      </c>
      <c r="K858" s="9" t="s">
        <v>40</v>
      </c>
      <c r="L858" s="9" t="s">
        <v>4306</v>
      </c>
      <c r="M858" s="9">
        <v>10</v>
      </c>
      <c r="N858" s="9">
        <v>16</v>
      </c>
      <c r="O858" s="9" t="s">
        <v>57</v>
      </c>
      <c r="P858" s="9" t="s">
        <v>58</v>
      </c>
      <c r="Q858" s="9">
        <v>13</v>
      </c>
      <c r="R858" s="9">
        <v>1</v>
      </c>
      <c r="S858" s="9">
        <v>12</v>
      </c>
      <c r="T858" s="9">
        <v>9</v>
      </c>
      <c r="U858" s="9">
        <v>12</v>
      </c>
      <c r="V858" s="9" t="s">
        <v>452</v>
      </c>
      <c r="W858" s="9">
        <v>0</v>
      </c>
      <c r="X858" s="9">
        <v>12</v>
      </c>
      <c r="Y858" s="9">
        <v>2</v>
      </c>
      <c r="Z858" s="9">
        <v>2</v>
      </c>
      <c r="AA858" s="9">
        <v>24</v>
      </c>
      <c r="AB858" s="9">
        <v>13</v>
      </c>
      <c r="AC858" s="9">
        <v>14</v>
      </c>
      <c r="AD858" s="9" t="s">
        <v>0</v>
      </c>
      <c r="AE858" s="9" t="s">
        <v>60</v>
      </c>
    </row>
    <row r="859" spans="1:31" ht="127.5" x14ac:dyDescent="0.2">
      <c r="A859" s="8" t="str">
        <f>HYPERLINK("http://www.patentics.cn/invokexml.do?sx=showpatent_cn&amp;sf=ShowPatent&amp;spn=US9379835&amp;sx=showpatent_cn&amp;sv=6c9fde0990cdf41e7b27122db7e01278","US9379835")</f>
        <v>US9379835</v>
      </c>
      <c r="B859" s="9" t="s">
        <v>4307</v>
      </c>
      <c r="C859" s="9" t="s">
        <v>4301</v>
      </c>
      <c r="D859" s="9" t="s">
        <v>48</v>
      </c>
      <c r="E859" s="9" t="s">
        <v>49</v>
      </c>
      <c r="F859" s="9" t="s">
        <v>4302</v>
      </c>
      <c r="G859" s="9" t="s">
        <v>4303</v>
      </c>
      <c r="H859" s="9" t="s">
        <v>4304</v>
      </c>
      <c r="I859" s="9" t="s">
        <v>4308</v>
      </c>
      <c r="J859" s="9" t="s">
        <v>3071</v>
      </c>
      <c r="K859" s="9" t="s">
        <v>40</v>
      </c>
      <c r="L859" s="9" t="s">
        <v>4306</v>
      </c>
      <c r="M859" s="9">
        <v>16</v>
      </c>
      <c r="N859" s="9">
        <v>20</v>
      </c>
      <c r="O859" s="9" t="s">
        <v>57</v>
      </c>
      <c r="P859" s="9" t="s">
        <v>58</v>
      </c>
      <c r="Q859" s="9">
        <v>24</v>
      </c>
      <c r="R859" s="9">
        <v>3</v>
      </c>
      <c r="S859" s="9">
        <v>21</v>
      </c>
      <c r="T859" s="9">
        <v>14</v>
      </c>
      <c r="U859" s="9">
        <v>0</v>
      </c>
      <c r="V859" s="9" t="s">
        <v>114</v>
      </c>
      <c r="W859" s="9">
        <v>0</v>
      </c>
      <c r="X859" s="9">
        <v>0</v>
      </c>
      <c r="Y859" s="9">
        <v>0</v>
      </c>
      <c r="Z859" s="9">
        <v>0</v>
      </c>
      <c r="AA859" s="9">
        <v>24</v>
      </c>
      <c r="AB859" s="9">
        <v>13</v>
      </c>
      <c r="AC859" s="9">
        <v>14</v>
      </c>
      <c r="AD859" s="9" t="s">
        <v>0</v>
      </c>
      <c r="AE859" s="9" t="s">
        <v>60</v>
      </c>
    </row>
    <row r="860" spans="1:31" ht="51" x14ac:dyDescent="0.2">
      <c r="A860" s="6" t="str">
        <f>HYPERLINK("http://www.patentics.cn/invokexml.do?sx=showpatent_cn&amp;sf=ShowPatent&amp;spn=CN1932524&amp;sx=showpatent_cn&amp;sv=2f6db61873defe9253ffd1eb28d4aa4c","CN1932524")</f>
        <v>CN1932524</v>
      </c>
      <c r="B860" s="7" t="s">
        <v>4309</v>
      </c>
      <c r="C860" s="7" t="s">
        <v>4310</v>
      </c>
      <c r="D860" s="7" t="s">
        <v>2833</v>
      </c>
      <c r="E860" s="7" t="s">
        <v>2833</v>
      </c>
      <c r="F860" s="7" t="s">
        <v>4311</v>
      </c>
      <c r="G860" s="7" t="s">
        <v>4312</v>
      </c>
      <c r="H860" s="7" t="s">
        <v>4313</v>
      </c>
      <c r="I860" s="7" t="s">
        <v>4314</v>
      </c>
      <c r="J860" s="7" t="s">
        <v>4315</v>
      </c>
      <c r="K860" s="7" t="s">
        <v>1200</v>
      </c>
      <c r="L860" s="7" t="s">
        <v>4316</v>
      </c>
      <c r="M860" s="7">
        <v>14</v>
      </c>
      <c r="N860" s="7">
        <v>11</v>
      </c>
      <c r="O860" s="7" t="s">
        <v>42</v>
      </c>
      <c r="P860" s="7" t="s">
        <v>341</v>
      </c>
      <c r="Q860" s="7">
        <v>0</v>
      </c>
      <c r="R860" s="7">
        <v>0</v>
      </c>
      <c r="S860" s="7">
        <v>0</v>
      </c>
      <c r="T860" s="7">
        <v>0</v>
      </c>
      <c r="U860" s="7">
        <v>7</v>
      </c>
      <c r="V860" s="7" t="s">
        <v>4317</v>
      </c>
      <c r="W860" s="7">
        <v>2</v>
      </c>
      <c r="X860" s="7">
        <v>5</v>
      </c>
      <c r="Y860" s="7">
        <v>4</v>
      </c>
      <c r="Z860" s="7">
        <v>2</v>
      </c>
      <c r="AA860" s="7">
        <v>7</v>
      </c>
      <c r="AB860" s="7">
        <v>5</v>
      </c>
      <c r="AC860" s="7" t="s">
        <v>0</v>
      </c>
      <c r="AD860" s="7">
        <v>2</v>
      </c>
      <c r="AE860" s="7" t="s">
        <v>60</v>
      </c>
    </row>
    <row r="861" spans="1:31" x14ac:dyDescent="0.2">
      <c r="A861" s="8" t="str">
        <f>HYPERLINK("http://www.patentics.cn/invokexml.do?sx=showpatent_cn&amp;sf=ShowPatent&amp;spn=CN103492884B&amp;sx=showpatent_cn&amp;sv=ad5c253571be2c6ea09c7ab267264656","CN103492884B")</f>
        <v>CN103492884B</v>
      </c>
      <c r="B861" s="9" t="s">
        <v>4318</v>
      </c>
      <c r="C861" s="9" t="s">
        <v>4319</v>
      </c>
      <c r="D861" s="9" t="s">
        <v>301</v>
      </c>
      <c r="E861" s="9" t="s">
        <v>301</v>
      </c>
      <c r="F861" s="9" t="s">
        <v>4320</v>
      </c>
      <c r="G861" s="9" t="s">
        <v>4320</v>
      </c>
      <c r="H861" s="9" t="s">
        <v>3466</v>
      </c>
      <c r="I861" s="9" t="s">
        <v>4321</v>
      </c>
      <c r="J861" s="9" t="s">
        <v>4322</v>
      </c>
      <c r="K861" s="9" t="s">
        <v>1200</v>
      </c>
      <c r="L861" s="9" t="s">
        <v>4323</v>
      </c>
      <c r="M861" s="9">
        <v>36</v>
      </c>
      <c r="N861" s="9">
        <v>16</v>
      </c>
      <c r="O861" s="9" t="s">
        <v>57</v>
      </c>
      <c r="P861" s="9" t="s">
        <v>58</v>
      </c>
      <c r="Q861" s="9">
        <v>2</v>
      </c>
      <c r="R861" s="9">
        <v>0</v>
      </c>
      <c r="S861" s="9">
        <v>2</v>
      </c>
      <c r="T861" s="9">
        <v>2</v>
      </c>
      <c r="U861" s="9">
        <v>0</v>
      </c>
      <c r="V861" s="9" t="s">
        <v>114</v>
      </c>
      <c r="W861" s="9">
        <v>0</v>
      </c>
      <c r="X861" s="9">
        <v>0</v>
      </c>
      <c r="Y861" s="9">
        <v>0</v>
      </c>
      <c r="Z861" s="9">
        <v>0</v>
      </c>
      <c r="AA861" s="9">
        <v>9</v>
      </c>
      <c r="AB861" s="9">
        <v>6</v>
      </c>
      <c r="AC861" s="9">
        <v>14</v>
      </c>
      <c r="AD861" s="9" t="s">
        <v>0</v>
      </c>
      <c r="AE861" s="9" t="s">
        <v>60</v>
      </c>
    </row>
    <row r="862" spans="1:31" x14ac:dyDescent="0.2">
      <c r="A862" s="8" t="str">
        <f>HYPERLINK("http://www.patentics.cn/invokexml.do?sx=showpatent_cn&amp;sf=ShowPatent&amp;spn=CN103492884&amp;sx=showpatent_cn&amp;sv=270ac06fdf610d62b96e0bec913988f2","CN103492884")</f>
        <v>CN103492884</v>
      </c>
      <c r="B862" s="9" t="s">
        <v>4318</v>
      </c>
      <c r="C862" s="9" t="s">
        <v>4319</v>
      </c>
      <c r="D862" s="9" t="s">
        <v>301</v>
      </c>
      <c r="E862" s="9" t="s">
        <v>301</v>
      </c>
      <c r="F862" s="9" t="s">
        <v>4320</v>
      </c>
      <c r="G862" s="9" t="s">
        <v>4320</v>
      </c>
      <c r="H862" s="9" t="s">
        <v>3466</v>
      </c>
      <c r="I862" s="9" t="s">
        <v>4321</v>
      </c>
      <c r="J862" s="9" t="s">
        <v>3649</v>
      </c>
      <c r="K862" s="9" t="s">
        <v>1200</v>
      </c>
      <c r="L862" s="9" t="s">
        <v>4323</v>
      </c>
      <c r="M862" s="9">
        <v>52</v>
      </c>
      <c r="N862" s="9">
        <v>11</v>
      </c>
      <c r="O862" s="9" t="s">
        <v>42</v>
      </c>
      <c r="P862" s="9" t="s">
        <v>58</v>
      </c>
      <c r="Q862" s="9">
        <v>6</v>
      </c>
      <c r="R862" s="9">
        <v>0</v>
      </c>
      <c r="S862" s="9">
        <v>6</v>
      </c>
      <c r="T862" s="9">
        <v>4</v>
      </c>
      <c r="U862" s="9">
        <v>0</v>
      </c>
      <c r="V862" s="9" t="s">
        <v>114</v>
      </c>
      <c r="W862" s="9">
        <v>0</v>
      </c>
      <c r="X862" s="9">
        <v>0</v>
      </c>
      <c r="Y862" s="9">
        <v>0</v>
      </c>
      <c r="Z862" s="9">
        <v>0</v>
      </c>
      <c r="AA862" s="9">
        <v>9</v>
      </c>
      <c r="AB862" s="9">
        <v>6</v>
      </c>
      <c r="AC862" s="9">
        <v>14</v>
      </c>
      <c r="AD862" s="9" t="s">
        <v>0</v>
      </c>
      <c r="AE862" s="9" t="s">
        <v>60</v>
      </c>
    </row>
    <row r="863" spans="1:31" ht="51" x14ac:dyDescent="0.2">
      <c r="A863" s="6" t="str">
        <f>HYPERLINK("http://www.patentics.cn/invokexml.do?sx=showpatent_cn&amp;sf=ShowPatent&amp;spn=CN1909437&amp;sx=showpatent_cn&amp;sv=b69ac3e2378db62c0dac31ab6dc87efb","CN1909437")</f>
        <v>CN1909437</v>
      </c>
      <c r="B863" s="7" t="s">
        <v>4324</v>
      </c>
      <c r="C863" s="7" t="s">
        <v>4325</v>
      </c>
      <c r="D863" s="7" t="s">
        <v>2806</v>
      </c>
      <c r="E863" s="7" t="s">
        <v>2807</v>
      </c>
      <c r="F863" s="7" t="s">
        <v>4326</v>
      </c>
      <c r="G863" s="7" t="s">
        <v>2809</v>
      </c>
      <c r="H863" s="7" t="s">
        <v>4327</v>
      </c>
      <c r="I863" s="7" t="s">
        <v>4328</v>
      </c>
      <c r="J863" s="7" t="s">
        <v>4329</v>
      </c>
      <c r="K863" s="7" t="s">
        <v>68</v>
      </c>
      <c r="L863" s="7" t="s">
        <v>4330</v>
      </c>
      <c r="M863" s="7">
        <v>46</v>
      </c>
      <c r="N863" s="7">
        <v>13</v>
      </c>
      <c r="O863" s="7" t="s">
        <v>42</v>
      </c>
      <c r="P863" s="7" t="s">
        <v>58</v>
      </c>
      <c r="Q863" s="7">
        <v>0</v>
      </c>
      <c r="R863" s="7">
        <v>0</v>
      </c>
      <c r="S863" s="7">
        <v>0</v>
      </c>
      <c r="T863" s="7">
        <v>0</v>
      </c>
      <c r="U863" s="7">
        <v>6</v>
      </c>
      <c r="V863" s="7" t="s">
        <v>4317</v>
      </c>
      <c r="W863" s="7">
        <v>0</v>
      </c>
      <c r="X863" s="7">
        <v>6</v>
      </c>
      <c r="Y863" s="7">
        <v>4</v>
      </c>
      <c r="Z863" s="7">
        <v>3</v>
      </c>
      <c r="AA863" s="7">
        <v>9</v>
      </c>
      <c r="AB863" s="7">
        <v>5</v>
      </c>
      <c r="AC863" s="7" t="s">
        <v>0</v>
      </c>
      <c r="AD863" s="7">
        <v>2</v>
      </c>
      <c r="AE863" s="7" t="s">
        <v>60</v>
      </c>
    </row>
    <row r="864" spans="1:31" ht="76.5" x14ac:dyDescent="0.2">
      <c r="A864" s="8" t="str">
        <f>HYPERLINK("http://www.patentics.cn/invokexml.do?sx=showpatent_cn&amp;sf=ShowPatent&amp;spn=US9277438&amp;sx=showpatent_cn&amp;sv=64e392ed5bfcddf05dbf9ea02f6e8e62","US9277438")</f>
        <v>US9277438</v>
      </c>
      <c r="B864" s="9" t="s">
        <v>4331</v>
      </c>
      <c r="C864" s="9" t="s">
        <v>4332</v>
      </c>
      <c r="D864" s="9" t="s">
        <v>48</v>
      </c>
      <c r="E864" s="9" t="s">
        <v>49</v>
      </c>
      <c r="F864" s="9" t="s">
        <v>4333</v>
      </c>
      <c r="G864" s="9" t="s">
        <v>2470</v>
      </c>
      <c r="H864" s="9" t="s">
        <v>4334</v>
      </c>
      <c r="I864" s="9" t="s">
        <v>4335</v>
      </c>
      <c r="J864" s="9" t="s">
        <v>772</v>
      </c>
      <c r="K864" s="9" t="s">
        <v>55</v>
      </c>
      <c r="L864" s="9" t="s">
        <v>4336</v>
      </c>
      <c r="M864" s="9">
        <v>30</v>
      </c>
      <c r="N864" s="9">
        <v>11</v>
      </c>
      <c r="O864" s="9" t="s">
        <v>57</v>
      </c>
      <c r="P864" s="9" t="s">
        <v>58</v>
      </c>
      <c r="Q864" s="9">
        <v>18</v>
      </c>
      <c r="R864" s="9">
        <v>4</v>
      </c>
      <c r="S864" s="9">
        <v>14</v>
      </c>
      <c r="T864" s="9">
        <v>7</v>
      </c>
      <c r="U864" s="9">
        <v>8</v>
      </c>
      <c r="V864" s="9" t="s">
        <v>114</v>
      </c>
      <c r="W864" s="9">
        <v>0</v>
      </c>
      <c r="X864" s="9">
        <v>8</v>
      </c>
      <c r="Y864" s="9">
        <v>0</v>
      </c>
      <c r="Z864" s="9">
        <v>1</v>
      </c>
      <c r="AA864" s="9">
        <v>11</v>
      </c>
      <c r="AB864" s="9">
        <v>7</v>
      </c>
      <c r="AC864" s="9">
        <v>14</v>
      </c>
      <c r="AD864" s="9" t="s">
        <v>0</v>
      </c>
      <c r="AE864" s="9" t="s">
        <v>60</v>
      </c>
    </row>
    <row r="865" spans="1:31" ht="38.25" x14ac:dyDescent="0.2">
      <c r="A865" s="8" t="str">
        <f>HYPERLINK("http://www.patentics.cn/invokexml.do?sx=showpatent_cn&amp;sf=ShowPatent&amp;spn=CN103155630B&amp;sx=showpatent_cn&amp;sv=ca027ac31889a8d660de10c398b9adc4","CN103155630B")</f>
        <v>CN103155630B</v>
      </c>
      <c r="B865" s="9" t="s">
        <v>4337</v>
      </c>
      <c r="C865" s="9" t="s">
        <v>4338</v>
      </c>
      <c r="D865" s="9" t="s">
        <v>301</v>
      </c>
      <c r="E865" s="9" t="s">
        <v>301</v>
      </c>
      <c r="F865" s="9" t="s">
        <v>4339</v>
      </c>
      <c r="G865" s="9" t="s">
        <v>2476</v>
      </c>
      <c r="H865" s="9" t="s">
        <v>4334</v>
      </c>
      <c r="I865" s="9" t="s">
        <v>4174</v>
      </c>
      <c r="J865" s="9" t="s">
        <v>4340</v>
      </c>
      <c r="K865" s="9" t="s">
        <v>55</v>
      </c>
      <c r="L865" s="9" t="s">
        <v>4336</v>
      </c>
      <c r="M865" s="9">
        <v>31</v>
      </c>
      <c r="N865" s="9">
        <v>10</v>
      </c>
      <c r="O865" s="9" t="s">
        <v>57</v>
      </c>
      <c r="P865" s="9" t="s">
        <v>58</v>
      </c>
      <c r="Q865" s="9">
        <v>2</v>
      </c>
      <c r="R865" s="9">
        <v>0</v>
      </c>
      <c r="S865" s="9">
        <v>2</v>
      </c>
      <c r="T865" s="9">
        <v>1</v>
      </c>
      <c r="U865" s="9">
        <v>0</v>
      </c>
      <c r="V865" s="9" t="s">
        <v>114</v>
      </c>
      <c r="W865" s="9">
        <v>0</v>
      </c>
      <c r="X865" s="9">
        <v>0</v>
      </c>
      <c r="Y865" s="9">
        <v>0</v>
      </c>
      <c r="Z865" s="9">
        <v>0</v>
      </c>
      <c r="AA865" s="9">
        <v>11</v>
      </c>
      <c r="AB865" s="9">
        <v>7</v>
      </c>
      <c r="AC865" s="9">
        <v>14</v>
      </c>
      <c r="AD865" s="9" t="s">
        <v>0</v>
      </c>
      <c r="AE865" s="9" t="s">
        <v>60</v>
      </c>
    </row>
    <row r="866" spans="1:31" ht="25.5" x14ac:dyDescent="0.2">
      <c r="A866" s="6" t="str">
        <f>HYPERLINK("http://www.patentics.cn/invokexml.do?sx=showpatent_cn&amp;sf=ShowPatent&amp;spn=CN1909382&amp;sx=showpatent_cn&amp;sv=43af234dab254f78e3b4ada5ac5bbfef","CN1909382")</f>
        <v>CN1909382</v>
      </c>
      <c r="B866" s="7" t="s">
        <v>4341</v>
      </c>
      <c r="C866" s="7" t="s">
        <v>4342</v>
      </c>
      <c r="D866" s="7" t="s">
        <v>1341</v>
      </c>
      <c r="E866" s="7" t="s">
        <v>1341</v>
      </c>
      <c r="F866" s="7" t="s">
        <v>4343</v>
      </c>
      <c r="G866" s="7" t="s">
        <v>4344</v>
      </c>
      <c r="H866" s="7" t="s">
        <v>4345</v>
      </c>
      <c r="I866" s="7" t="s">
        <v>4345</v>
      </c>
      <c r="J866" s="7" t="s">
        <v>4329</v>
      </c>
      <c r="K866" s="7" t="s">
        <v>1529</v>
      </c>
      <c r="L866" s="7" t="s">
        <v>4346</v>
      </c>
      <c r="M866" s="7">
        <v>6</v>
      </c>
      <c r="N866" s="7">
        <v>14</v>
      </c>
      <c r="O866" s="7" t="s">
        <v>42</v>
      </c>
      <c r="P866" s="7" t="s">
        <v>43</v>
      </c>
      <c r="Q866" s="7">
        <v>0</v>
      </c>
      <c r="R866" s="7">
        <v>0</v>
      </c>
      <c r="S866" s="7">
        <v>0</v>
      </c>
      <c r="T866" s="7">
        <v>0</v>
      </c>
      <c r="U866" s="7">
        <v>4</v>
      </c>
      <c r="V866" s="7" t="s">
        <v>4347</v>
      </c>
      <c r="W866" s="7">
        <v>0</v>
      </c>
      <c r="X866" s="7">
        <v>4</v>
      </c>
      <c r="Y866" s="7">
        <v>3</v>
      </c>
      <c r="Z866" s="7">
        <v>2</v>
      </c>
      <c r="AA866" s="7">
        <v>1</v>
      </c>
      <c r="AB866" s="7">
        <v>1</v>
      </c>
      <c r="AC866" s="7" t="s">
        <v>0</v>
      </c>
      <c r="AD866" s="7">
        <v>2</v>
      </c>
      <c r="AE866" s="7" t="s">
        <v>532</v>
      </c>
    </row>
    <row r="867" spans="1:31" ht="51" x14ac:dyDescent="0.2">
      <c r="A867" s="8" t="str">
        <f>HYPERLINK("http://www.patentics.cn/invokexml.do?sx=showpatent_cn&amp;sf=ShowPatent&amp;spn=US8548815&amp;sx=showpatent_cn&amp;sv=4c41dd8660c195c849e06a3cc43794c1","US8548815")</f>
        <v>US8548815</v>
      </c>
      <c r="B867" s="9" t="s">
        <v>4348</v>
      </c>
      <c r="C867" s="9" t="s">
        <v>4349</v>
      </c>
      <c r="D867" s="9" t="s">
        <v>48</v>
      </c>
      <c r="E867" s="9" t="s">
        <v>49</v>
      </c>
      <c r="F867" s="9" t="s">
        <v>4350</v>
      </c>
      <c r="G867" s="9" t="s">
        <v>4351</v>
      </c>
      <c r="H867" s="9" t="s">
        <v>4352</v>
      </c>
      <c r="I867" s="9" t="s">
        <v>4353</v>
      </c>
      <c r="J867" s="9" t="s">
        <v>81</v>
      </c>
      <c r="K867" s="9" t="s">
        <v>1486</v>
      </c>
      <c r="L867" s="9" t="s">
        <v>1495</v>
      </c>
      <c r="M867" s="9">
        <v>50</v>
      </c>
      <c r="N867" s="9">
        <v>16</v>
      </c>
      <c r="O867" s="9" t="s">
        <v>57</v>
      </c>
      <c r="P867" s="9" t="s">
        <v>58</v>
      </c>
      <c r="Q867" s="9">
        <v>20</v>
      </c>
      <c r="R867" s="9">
        <v>0</v>
      </c>
      <c r="S867" s="9">
        <v>20</v>
      </c>
      <c r="T867" s="9">
        <v>13</v>
      </c>
      <c r="U867" s="9">
        <v>1</v>
      </c>
      <c r="V867" s="9" t="s">
        <v>131</v>
      </c>
      <c r="W867" s="9">
        <v>0</v>
      </c>
      <c r="X867" s="9">
        <v>1</v>
      </c>
      <c r="Y867" s="9">
        <v>1</v>
      </c>
      <c r="Z867" s="9">
        <v>1</v>
      </c>
      <c r="AA867" s="9">
        <v>19</v>
      </c>
      <c r="AB867" s="9">
        <v>14</v>
      </c>
      <c r="AC867" s="9">
        <v>14</v>
      </c>
      <c r="AD867" s="9" t="s">
        <v>0</v>
      </c>
      <c r="AE867" s="9" t="s">
        <v>60</v>
      </c>
    </row>
    <row r="868" spans="1:31" ht="51" x14ac:dyDescent="0.2">
      <c r="A868" s="8" t="str">
        <f>HYPERLINK("http://www.patentics.cn/invokexml.do?sx=showpatent_cn&amp;sf=ShowPatent&amp;spn=CN101796578B&amp;sx=showpatent_cn&amp;sv=b9e64232ed4c2682489ffe48f28cfa90","CN101796578B")</f>
        <v>CN101796578B</v>
      </c>
      <c r="B868" s="9" t="s">
        <v>4354</v>
      </c>
      <c r="C868" s="9" t="s">
        <v>4355</v>
      </c>
      <c r="D868" s="9" t="s">
        <v>301</v>
      </c>
      <c r="E868" s="9" t="s">
        <v>301</v>
      </c>
      <c r="F868" s="9" t="s">
        <v>4356</v>
      </c>
      <c r="G868" s="9" t="s">
        <v>4357</v>
      </c>
      <c r="H868" s="9" t="s">
        <v>4352</v>
      </c>
      <c r="I868" s="9" t="s">
        <v>2745</v>
      </c>
      <c r="J868" s="9" t="s">
        <v>1604</v>
      </c>
      <c r="K868" s="9" t="s">
        <v>1486</v>
      </c>
      <c r="L868" s="9" t="s">
        <v>4358</v>
      </c>
      <c r="M868" s="9">
        <v>31</v>
      </c>
      <c r="N868" s="9">
        <v>23</v>
      </c>
      <c r="O868" s="9" t="s">
        <v>57</v>
      </c>
      <c r="P868" s="9" t="s">
        <v>58</v>
      </c>
      <c r="Q868" s="9">
        <v>1</v>
      </c>
      <c r="R868" s="9">
        <v>0</v>
      </c>
      <c r="S868" s="9">
        <v>1</v>
      </c>
      <c r="T868" s="9">
        <v>1</v>
      </c>
      <c r="U868" s="9">
        <v>0</v>
      </c>
      <c r="V868" s="9" t="s">
        <v>114</v>
      </c>
      <c r="W868" s="9">
        <v>0</v>
      </c>
      <c r="X868" s="9">
        <v>0</v>
      </c>
      <c r="Y868" s="9">
        <v>0</v>
      </c>
      <c r="Z868" s="9">
        <v>0</v>
      </c>
      <c r="AA868" s="9">
        <v>19</v>
      </c>
      <c r="AB868" s="9">
        <v>14</v>
      </c>
      <c r="AC868" s="9">
        <v>14</v>
      </c>
      <c r="AD868" s="9" t="s">
        <v>0</v>
      </c>
      <c r="AE868" s="9" t="s">
        <v>60</v>
      </c>
    </row>
    <row r="869" spans="1:31" ht="76.5" x14ac:dyDescent="0.2">
      <c r="A869" s="6" t="str">
        <f>HYPERLINK("http://www.patentics.cn/invokexml.do?sx=showpatent_cn&amp;sf=ShowPatent&amp;spn=CN1904806&amp;sx=showpatent_cn&amp;sv=19b756fdf1f86c2cc432e223d5735ef3","CN1904806")</f>
        <v>CN1904806</v>
      </c>
      <c r="B869" s="7" t="s">
        <v>4359</v>
      </c>
      <c r="C869" s="7" t="s">
        <v>4360</v>
      </c>
      <c r="D869" s="7" t="s">
        <v>2246</v>
      </c>
      <c r="E869" s="7" t="s">
        <v>2246</v>
      </c>
      <c r="F869" s="7" t="s">
        <v>4361</v>
      </c>
      <c r="G869" s="7" t="s">
        <v>4362</v>
      </c>
      <c r="H869" s="7" t="s">
        <v>4363</v>
      </c>
      <c r="I869" s="7" t="s">
        <v>4363</v>
      </c>
      <c r="J869" s="7" t="s">
        <v>4364</v>
      </c>
      <c r="K869" s="7" t="s">
        <v>885</v>
      </c>
      <c r="L869" s="7" t="s">
        <v>1300</v>
      </c>
      <c r="M869" s="7">
        <v>6</v>
      </c>
      <c r="N869" s="7">
        <v>34</v>
      </c>
      <c r="O869" s="7" t="s">
        <v>42</v>
      </c>
      <c r="P869" s="7" t="s">
        <v>43</v>
      </c>
      <c r="Q869" s="7">
        <v>0</v>
      </c>
      <c r="R869" s="7">
        <v>0</v>
      </c>
      <c r="S869" s="7">
        <v>0</v>
      </c>
      <c r="T869" s="7">
        <v>0</v>
      </c>
      <c r="U869" s="7">
        <v>7</v>
      </c>
      <c r="V869" s="7" t="s">
        <v>4365</v>
      </c>
      <c r="W869" s="7">
        <v>0</v>
      </c>
      <c r="X869" s="7">
        <v>7</v>
      </c>
      <c r="Y869" s="7">
        <v>4</v>
      </c>
      <c r="Z869" s="7">
        <v>4</v>
      </c>
      <c r="AA869" s="7">
        <v>1</v>
      </c>
      <c r="AB869" s="7">
        <v>1</v>
      </c>
      <c r="AC869" s="7" t="s">
        <v>0</v>
      </c>
      <c r="AD869" s="7">
        <v>2</v>
      </c>
      <c r="AE869" s="7" t="s">
        <v>532</v>
      </c>
    </row>
    <row r="870" spans="1:31" ht="114.75" x14ac:dyDescent="0.2">
      <c r="A870" s="8" t="str">
        <f>HYPERLINK("http://www.patentics.cn/invokexml.do?sx=showpatent_cn&amp;sf=ShowPatent&amp;spn=US9436286&amp;sx=showpatent_cn&amp;sv=b7a404bff5ba1346a2f6487f28078898","US9436286")</f>
        <v>US9436286</v>
      </c>
      <c r="B870" s="9" t="s">
        <v>3742</v>
      </c>
      <c r="C870" s="9" t="s">
        <v>3743</v>
      </c>
      <c r="D870" s="9" t="s">
        <v>48</v>
      </c>
      <c r="E870" s="9" t="s">
        <v>49</v>
      </c>
      <c r="F870" s="9" t="s">
        <v>3744</v>
      </c>
      <c r="G870" s="9" t="s">
        <v>3745</v>
      </c>
      <c r="H870" s="9" t="s">
        <v>767</v>
      </c>
      <c r="I870" s="9" t="s">
        <v>3746</v>
      </c>
      <c r="J870" s="9" t="s">
        <v>827</v>
      </c>
      <c r="K870" s="9" t="s">
        <v>3747</v>
      </c>
      <c r="L870" s="9" t="s">
        <v>3748</v>
      </c>
      <c r="M870" s="9">
        <v>49</v>
      </c>
      <c r="N870" s="9">
        <v>14</v>
      </c>
      <c r="O870" s="9" t="s">
        <v>57</v>
      </c>
      <c r="P870" s="9" t="s">
        <v>58</v>
      </c>
      <c r="Q870" s="9">
        <v>14</v>
      </c>
      <c r="R870" s="9">
        <v>0</v>
      </c>
      <c r="S870" s="9">
        <v>14</v>
      </c>
      <c r="T870" s="9">
        <v>10</v>
      </c>
      <c r="U870" s="9">
        <v>0</v>
      </c>
      <c r="V870" s="9" t="s">
        <v>114</v>
      </c>
      <c r="W870" s="9">
        <v>0</v>
      </c>
      <c r="X870" s="9">
        <v>0</v>
      </c>
      <c r="Y870" s="9">
        <v>0</v>
      </c>
      <c r="Z870" s="9">
        <v>0</v>
      </c>
      <c r="AA870" s="9">
        <v>13</v>
      </c>
      <c r="AB870" s="9">
        <v>8</v>
      </c>
      <c r="AC870" s="9">
        <v>14</v>
      </c>
      <c r="AD870" s="9" t="s">
        <v>0</v>
      </c>
      <c r="AE870" s="9" t="s">
        <v>60</v>
      </c>
    </row>
    <row r="871" spans="1:31" ht="63.75" x14ac:dyDescent="0.2">
      <c r="A871" s="8" t="str">
        <f>HYPERLINK("http://www.patentics.cn/invokexml.do?sx=showpatent_cn&amp;sf=ShowPatent&amp;spn=CN103370672B&amp;sx=showpatent_cn&amp;sv=70cf6fbeb93eed9b7eef8e928cfefda1","CN103370672B")</f>
        <v>CN103370672B</v>
      </c>
      <c r="B871" s="9" t="s">
        <v>3749</v>
      </c>
      <c r="C871" s="9" t="s">
        <v>3750</v>
      </c>
      <c r="D871" s="9" t="s">
        <v>301</v>
      </c>
      <c r="E871" s="9" t="s">
        <v>301</v>
      </c>
      <c r="F871" s="9" t="s">
        <v>3751</v>
      </c>
      <c r="G871" s="9" t="s">
        <v>3752</v>
      </c>
      <c r="H871" s="9" t="s">
        <v>767</v>
      </c>
      <c r="I871" s="9" t="s">
        <v>3753</v>
      </c>
      <c r="J871" s="9" t="s">
        <v>1667</v>
      </c>
      <c r="K871" s="9" t="s">
        <v>885</v>
      </c>
      <c r="L871" s="9" t="s">
        <v>1300</v>
      </c>
      <c r="M871" s="9">
        <v>34</v>
      </c>
      <c r="N871" s="9">
        <v>11</v>
      </c>
      <c r="O871" s="9" t="s">
        <v>57</v>
      </c>
      <c r="P871" s="9" t="s">
        <v>58</v>
      </c>
      <c r="Q871" s="9">
        <v>5</v>
      </c>
      <c r="R871" s="9">
        <v>0</v>
      </c>
      <c r="S871" s="9">
        <v>5</v>
      </c>
      <c r="T871" s="9">
        <v>5</v>
      </c>
      <c r="U871" s="9">
        <v>0</v>
      </c>
      <c r="V871" s="9" t="s">
        <v>114</v>
      </c>
      <c r="W871" s="9">
        <v>0</v>
      </c>
      <c r="X871" s="9">
        <v>0</v>
      </c>
      <c r="Y871" s="9">
        <v>0</v>
      </c>
      <c r="Z871" s="9">
        <v>0</v>
      </c>
      <c r="AA871" s="9">
        <v>13</v>
      </c>
      <c r="AB871" s="9">
        <v>8</v>
      </c>
      <c r="AC871" s="9">
        <v>14</v>
      </c>
      <c r="AD871" s="9" t="s">
        <v>0</v>
      </c>
      <c r="AE871" s="9" t="s">
        <v>60</v>
      </c>
    </row>
    <row r="872" spans="1:31" ht="76.5" x14ac:dyDescent="0.2">
      <c r="A872" s="6" t="str">
        <f>HYPERLINK("http://www.patentics.cn/invokexml.do?sx=showpatent_cn&amp;sf=ShowPatent&amp;spn=CN1897748&amp;sx=showpatent_cn&amp;sv=3fd6f61e8fc93a985c7512dfc9d3fd8c","CN1897748")</f>
        <v>CN1897748</v>
      </c>
      <c r="B872" s="7" t="s">
        <v>4366</v>
      </c>
      <c r="C872" s="7" t="s">
        <v>4367</v>
      </c>
      <c r="D872" s="7" t="s">
        <v>4368</v>
      </c>
      <c r="E872" s="7" t="s">
        <v>4368</v>
      </c>
      <c r="F872" s="7" t="s">
        <v>4369</v>
      </c>
      <c r="G872" s="7" t="s">
        <v>4370</v>
      </c>
      <c r="H872" s="7" t="s">
        <v>4371</v>
      </c>
      <c r="I872" s="7" t="s">
        <v>4371</v>
      </c>
      <c r="J872" s="7" t="s">
        <v>2046</v>
      </c>
      <c r="K872" s="7" t="s">
        <v>96</v>
      </c>
      <c r="L872" s="7" t="s">
        <v>1102</v>
      </c>
      <c r="M872" s="7">
        <v>6</v>
      </c>
      <c r="N872" s="7">
        <v>19</v>
      </c>
      <c r="O872" s="7" t="s">
        <v>42</v>
      </c>
      <c r="P872" s="7" t="s">
        <v>43</v>
      </c>
      <c r="Q872" s="7">
        <v>0</v>
      </c>
      <c r="R872" s="7">
        <v>0</v>
      </c>
      <c r="S872" s="7">
        <v>0</v>
      </c>
      <c r="T872" s="7">
        <v>0</v>
      </c>
      <c r="U872" s="7">
        <v>10</v>
      </c>
      <c r="V872" s="7" t="s">
        <v>4372</v>
      </c>
      <c r="W872" s="7">
        <v>0</v>
      </c>
      <c r="X872" s="7">
        <v>10</v>
      </c>
      <c r="Y872" s="7">
        <v>6</v>
      </c>
      <c r="Z872" s="7">
        <v>3</v>
      </c>
      <c r="AA872" s="7">
        <v>1</v>
      </c>
      <c r="AB872" s="7">
        <v>1</v>
      </c>
      <c r="AC872" s="7" t="s">
        <v>0</v>
      </c>
      <c r="AD872" s="7">
        <v>2</v>
      </c>
      <c r="AE872" s="7" t="s">
        <v>532</v>
      </c>
    </row>
    <row r="873" spans="1:31" ht="191.25" x14ac:dyDescent="0.2">
      <c r="A873" s="8" t="str">
        <f>HYPERLINK("http://www.patentics.cn/invokexml.do?sx=showpatent_cn&amp;sf=ShowPatent&amp;spn=US9274231&amp;sx=showpatent_cn&amp;sv=871a5f38a273195ccae926581e5767ee","US9274231")</f>
        <v>US9274231</v>
      </c>
      <c r="B873" s="9" t="s">
        <v>4373</v>
      </c>
      <c r="C873" s="9" t="s">
        <v>4374</v>
      </c>
      <c r="D873" s="9" t="s">
        <v>48</v>
      </c>
      <c r="E873" s="9" t="s">
        <v>49</v>
      </c>
      <c r="F873" s="9" t="s">
        <v>4375</v>
      </c>
      <c r="G873" s="9" t="s">
        <v>4376</v>
      </c>
      <c r="H873" s="9" t="s">
        <v>1351</v>
      </c>
      <c r="I873" s="9" t="s">
        <v>3587</v>
      </c>
      <c r="J873" s="9" t="s">
        <v>772</v>
      </c>
      <c r="K873" s="9" t="s">
        <v>1142</v>
      </c>
      <c r="L873" s="9" t="s">
        <v>4377</v>
      </c>
      <c r="M873" s="9">
        <v>16</v>
      </c>
      <c r="N873" s="9">
        <v>12</v>
      </c>
      <c r="O873" s="9" t="s">
        <v>57</v>
      </c>
      <c r="P873" s="9" t="s">
        <v>58</v>
      </c>
      <c r="Q873" s="9">
        <v>41</v>
      </c>
      <c r="R873" s="9">
        <v>10</v>
      </c>
      <c r="S873" s="9">
        <v>31</v>
      </c>
      <c r="T873" s="9">
        <v>24</v>
      </c>
      <c r="U873" s="9">
        <v>0</v>
      </c>
      <c r="V873" s="9" t="s">
        <v>114</v>
      </c>
      <c r="W873" s="9">
        <v>0</v>
      </c>
      <c r="X873" s="9">
        <v>0</v>
      </c>
      <c r="Y873" s="9">
        <v>0</v>
      </c>
      <c r="Z873" s="9">
        <v>0</v>
      </c>
      <c r="AA873" s="9">
        <v>32</v>
      </c>
      <c r="AB873" s="9">
        <v>10</v>
      </c>
      <c r="AC873" s="9">
        <v>14</v>
      </c>
      <c r="AD873" s="9" t="s">
        <v>0</v>
      </c>
      <c r="AE873" s="9" t="s">
        <v>60</v>
      </c>
    </row>
    <row r="874" spans="1:31" ht="102" x14ac:dyDescent="0.2">
      <c r="A874" s="8" t="str">
        <f>HYPERLINK("http://www.patentics.cn/invokexml.do?sx=showpatent_cn&amp;sf=ShowPatent&amp;spn=CN102460204&amp;sx=showpatent_cn&amp;sv=a582c44357596e3415a5ab8662d7353e","CN102460204")</f>
        <v>CN102460204</v>
      </c>
      <c r="B874" s="9" t="s">
        <v>4378</v>
      </c>
      <c r="C874" s="9" t="s">
        <v>4379</v>
      </c>
      <c r="D874" s="9" t="s">
        <v>301</v>
      </c>
      <c r="E874" s="9" t="s">
        <v>301</v>
      </c>
      <c r="F874" s="9" t="s">
        <v>4380</v>
      </c>
      <c r="G874" s="9" t="s">
        <v>4381</v>
      </c>
      <c r="H874" s="9" t="s">
        <v>1351</v>
      </c>
      <c r="I874" s="9" t="s">
        <v>1837</v>
      </c>
      <c r="J874" s="9" t="s">
        <v>2459</v>
      </c>
      <c r="K874" s="9" t="s">
        <v>1142</v>
      </c>
      <c r="L874" s="9" t="s">
        <v>1150</v>
      </c>
      <c r="M874" s="9">
        <v>72</v>
      </c>
      <c r="N874" s="9">
        <v>9</v>
      </c>
      <c r="O874" s="9" t="s">
        <v>42</v>
      </c>
      <c r="P874" s="9" t="s">
        <v>58</v>
      </c>
      <c r="Q874" s="9">
        <v>8</v>
      </c>
      <c r="R874" s="9">
        <v>2</v>
      </c>
      <c r="S874" s="9">
        <v>6</v>
      </c>
      <c r="T874" s="9">
        <v>6</v>
      </c>
      <c r="U874" s="9">
        <v>3</v>
      </c>
      <c r="V874" s="9" t="s">
        <v>3456</v>
      </c>
      <c r="W874" s="9">
        <v>3</v>
      </c>
      <c r="X874" s="9">
        <v>0</v>
      </c>
      <c r="Y874" s="9">
        <v>1</v>
      </c>
      <c r="Z874" s="9">
        <v>1</v>
      </c>
      <c r="AA874" s="9">
        <v>32</v>
      </c>
      <c r="AB874" s="9">
        <v>10</v>
      </c>
      <c r="AC874" s="9">
        <v>14</v>
      </c>
      <c r="AD874" s="9" t="s">
        <v>0</v>
      </c>
      <c r="AE874" s="9" t="s">
        <v>1390</v>
      </c>
    </row>
    <row r="875" spans="1:31" ht="51" x14ac:dyDescent="0.2">
      <c r="A875" s="6" t="str">
        <f>HYPERLINK("http://www.patentics.cn/invokexml.do?sx=showpatent_cn&amp;sf=ShowPatent&amp;spn=CN1893728&amp;sx=showpatent_cn&amp;sv=3cfaf90693501c134070d98a9d9a6403","CN1893728")</f>
        <v>CN1893728</v>
      </c>
      <c r="B875" s="7" t="s">
        <v>4382</v>
      </c>
      <c r="C875" s="7" t="s">
        <v>4383</v>
      </c>
      <c r="D875" s="7" t="s">
        <v>2833</v>
      </c>
      <c r="E875" s="7" t="s">
        <v>2833</v>
      </c>
      <c r="F875" s="7" t="s">
        <v>4384</v>
      </c>
      <c r="G875" s="7" t="s">
        <v>4385</v>
      </c>
      <c r="H875" s="7" t="s">
        <v>4386</v>
      </c>
      <c r="I875" s="7" t="s">
        <v>4387</v>
      </c>
      <c r="J875" s="7" t="s">
        <v>2865</v>
      </c>
      <c r="K875" s="7" t="s">
        <v>96</v>
      </c>
      <c r="L875" s="7" t="s">
        <v>1102</v>
      </c>
      <c r="M875" s="7">
        <v>57</v>
      </c>
      <c r="N875" s="7">
        <v>17</v>
      </c>
      <c r="O875" s="7" t="s">
        <v>42</v>
      </c>
      <c r="P875" s="7" t="s">
        <v>341</v>
      </c>
      <c r="Q875" s="7">
        <v>0</v>
      </c>
      <c r="R875" s="7">
        <v>0</v>
      </c>
      <c r="S875" s="7">
        <v>0</v>
      </c>
      <c r="T875" s="7">
        <v>0</v>
      </c>
      <c r="U875" s="7">
        <v>4</v>
      </c>
      <c r="V875" s="7" t="s">
        <v>4388</v>
      </c>
      <c r="W875" s="7">
        <v>0</v>
      </c>
      <c r="X875" s="7">
        <v>4</v>
      </c>
      <c r="Y875" s="7">
        <v>2</v>
      </c>
      <c r="Z875" s="7">
        <v>2</v>
      </c>
      <c r="AA875" s="7">
        <v>16</v>
      </c>
      <c r="AB875" s="7">
        <v>11</v>
      </c>
      <c r="AC875" s="7" t="s">
        <v>0</v>
      </c>
      <c r="AD875" s="7">
        <v>2</v>
      </c>
      <c r="AE875" s="7" t="s">
        <v>45</v>
      </c>
    </row>
    <row r="876" spans="1:31" ht="51" x14ac:dyDescent="0.2">
      <c r="A876" s="8" t="str">
        <f>HYPERLINK("http://www.patentics.cn/invokexml.do?sx=showpatent_cn&amp;sf=ShowPatent&amp;spn=US9074897&amp;sx=showpatent_cn&amp;sv=36e413c3254b3ff98398830352c7362f","US9074897")</f>
        <v>US9074897</v>
      </c>
      <c r="B876" s="9" t="s">
        <v>4389</v>
      </c>
      <c r="C876" s="9" t="s">
        <v>4390</v>
      </c>
      <c r="D876" s="9" t="s">
        <v>48</v>
      </c>
      <c r="E876" s="9" t="s">
        <v>49</v>
      </c>
      <c r="F876" s="9" t="s">
        <v>4391</v>
      </c>
      <c r="G876" s="9" t="s">
        <v>4392</v>
      </c>
      <c r="H876" s="9" t="s">
        <v>2442</v>
      </c>
      <c r="I876" s="9" t="s">
        <v>2442</v>
      </c>
      <c r="J876" s="9" t="s">
        <v>1359</v>
      </c>
      <c r="K876" s="9" t="s">
        <v>937</v>
      </c>
      <c r="L876" s="9" t="s">
        <v>938</v>
      </c>
      <c r="M876" s="9">
        <v>53</v>
      </c>
      <c r="N876" s="9">
        <v>15</v>
      </c>
      <c r="O876" s="9" t="s">
        <v>57</v>
      </c>
      <c r="P876" s="9" t="s">
        <v>58</v>
      </c>
      <c r="Q876" s="9">
        <v>121</v>
      </c>
      <c r="R876" s="9">
        <v>23</v>
      </c>
      <c r="S876" s="9">
        <v>98</v>
      </c>
      <c r="T876" s="9">
        <v>55</v>
      </c>
      <c r="U876" s="9">
        <v>0</v>
      </c>
      <c r="V876" s="9" t="s">
        <v>114</v>
      </c>
      <c r="W876" s="9">
        <v>0</v>
      </c>
      <c r="X876" s="9">
        <v>0</v>
      </c>
      <c r="Y876" s="9">
        <v>0</v>
      </c>
      <c r="Z876" s="9">
        <v>0</v>
      </c>
      <c r="AA876" s="9">
        <v>10</v>
      </c>
      <c r="AB876" s="9">
        <v>7</v>
      </c>
      <c r="AC876" s="9">
        <v>14</v>
      </c>
      <c r="AD876" s="9" t="s">
        <v>0</v>
      </c>
      <c r="AE876" s="9" t="s">
        <v>60</v>
      </c>
    </row>
    <row r="877" spans="1:31" ht="127.5" x14ac:dyDescent="0.2">
      <c r="A877" s="8" t="str">
        <f>HYPERLINK("http://www.patentics.cn/invokexml.do?sx=showpatent_cn&amp;sf=ShowPatent&amp;spn=US9354321&amp;sx=showpatent_cn&amp;sv=99af330c203f419cc35e2b825c78544a","US9354321")</f>
        <v>US9354321</v>
      </c>
      <c r="B877" s="9" t="s">
        <v>4393</v>
      </c>
      <c r="C877" s="9" t="s">
        <v>4394</v>
      </c>
      <c r="D877" s="9" t="s">
        <v>48</v>
      </c>
      <c r="E877" s="9" t="s">
        <v>49</v>
      </c>
      <c r="F877" s="9" t="s">
        <v>4395</v>
      </c>
      <c r="G877" s="9" t="s">
        <v>4396</v>
      </c>
      <c r="H877" s="9" t="s">
        <v>4397</v>
      </c>
      <c r="I877" s="9" t="s">
        <v>4398</v>
      </c>
      <c r="J877" s="9" t="s">
        <v>1468</v>
      </c>
      <c r="K877" s="9" t="s">
        <v>1142</v>
      </c>
      <c r="L877" s="9" t="s">
        <v>4399</v>
      </c>
      <c r="M877" s="9">
        <v>30</v>
      </c>
      <c r="N877" s="9">
        <v>20</v>
      </c>
      <c r="O877" s="9" t="s">
        <v>57</v>
      </c>
      <c r="P877" s="9" t="s">
        <v>58</v>
      </c>
      <c r="Q877" s="9">
        <v>121</v>
      </c>
      <c r="R877" s="9">
        <v>24</v>
      </c>
      <c r="S877" s="9">
        <v>97</v>
      </c>
      <c r="T877" s="9">
        <v>55</v>
      </c>
      <c r="U877" s="9">
        <v>0</v>
      </c>
      <c r="V877" s="9" t="s">
        <v>114</v>
      </c>
      <c r="W877" s="9">
        <v>0</v>
      </c>
      <c r="X877" s="9">
        <v>0</v>
      </c>
      <c r="Y877" s="9">
        <v>0</v>
      </c>
      <c r="Z877" s="9">
        <v>0</v>
      </c>
      <c r="AA877" s="9">
        <v>24</v>
      </c>
      <c r="AB877" s="9">
        <v>9</v>
      </c>
      <c r="AC877" s="9">
        <v>14</v>
      </c>
      <c r="AD877" s="9" t="s">
        <v>0</v>
      </c>
      <c r="AE877" s="9" t="s">
        <v>60</v>
      </c>
    </row>
    <row r="878" spans="1:31" ht="25.5" x14ac:dyDescent="0.2">
      <c r="A878" s="6" t="str">
        <f>HYPERLINK("http://www.patentics.cn/invokexml.do?sx=showpatent_cn&amp;sf=ShowPatent&amp;spn=CN1889690&amp;sx=showpatent_cn&amp;sv=95f61b6fb0028ea303803377ae736089","CN1889690")</f>
        <v>CN1889690</v>
      </c>
      <c r="B878" s="7" t="s">
        <v>4400</v>
      </c>
      <c r="C878" s="7" t="s">
        <v>4401</v>
      </c>
      <c r="D878" s="7" t="s">
        <v>923</v>
      </c>
      <c r="E878" s="7" t="s">
        <v>923</v>
      </c>
      <c r="F878" s="7" t="s">
        <v>4402</v>
      </c>
      <c r="G878" s="7" t="s">
        <v>4403</v>
      </c>
      <c r="H878" s="7" t="s">
        <v>1387</v>
      </c>
      <c r="I878" s="7" t="s">
        <v>1387</v>
      </c>
      <c r="J878" s="7" t="s">
        <v>4404</v>
      </c>
      <c r="K878" s="7" t="s">
        <v>714</v>
      </c>
      <c r="L878" s="7" t="s">
        <v>1346</v>
      </c>
      <c r="M878" s="7">
        <v>10</v>
      </c>
      <c r="N878" s="7">
        <v>15</v>
      </c>
      <c r="O878" s="7" t="s">
        <v>42</v>
      </c>
      <c r="P878" s="7" t="s">
        <v>43</v>
      </c>
      <c r="Q878" s="7">
        <v>0</v>
      </c>
      <c r="R878" s="7">
        <v>0</v>
      </c>
      <c r="S878" s="7">
        <v>0</v>
      </c>
      <c r="T878" s="7">
        <v>0</v>
      </c>
      <c r="U878" s="7">
        <v>5</v>
      </c>
      <c r="V878" s="7" t="s">
        <v>4405</v>
      </c>
      <c r="W878" s="7">
        <v>0</v>
      </c>
      <c r="X878" s="7">
        <v>5</v>
      </c>
      <c r="Y878" s="7">
        <v>3</v>
      </c>
      <c r="Z878" s="7">
        <v>3</v>
      </c>
      <c r="AA878" s="7">
        <v>1</v>
      </c>
      <c r="AB878" s="7">
        <v>1</v>
      </c>
      <c r="AC878" s="7" t="s">
        <v>0</v>
      </c>
      <c r="AD878" s="7">
        <v>2</v>
      </c>
      <c r="AE878" s="7" t="s">
        <v>60</v>
      </c>
    </row>
    <row r="879" spans="1:31" ht="76.5" x14ac:dyDescent="0.2">
      <c r="A879" s="8" t="str">
        <f>HYPERLINK("http://www.patentics.cn/invokexml.do?sx=showpatent_cn&amp;sf=ShowPatent&amp;spn=US8654833&amp;sx=showpatent_cn&amp;sv=7ca8594552080dadab57f35031ad99cc","US8654833")</f>
        <v>US8654833</v>
      </c>
      <c r="B879" s="9" t="s">
        <v>3011</v>
      </c>
      <c r="C879" s="9" t="s">
        <v>3012</v>
      </c>
      <c r="D879" s="9" t="s">
        <v>48</v>
      </c>
      <c r="E879" s="9" t="s">
        <v>49</v>
      </c>
      <c r="F879" s="9" t="s">
        <v>3013</v>
      </c>
      <c r="G879" s="9" t="s">
        <v>3014</v>
      </c>
      <c r="H879" s="9" t="s">
        <v>3015</v>
      </c>
      <c r="I879" s="9" t="s">
        <v>3015</v>
      </c>
      <c r="J879" s="9" t="s">
        <v>3016</v>
      </c>
      <c r="K879" s="9" t="s">
        <v>714</v>
      </c>
      <c r="L879" s="9" t="s">
        <v>1360</v>
      </c>
      <c r="M879" s="9">
        <v>27</v>
      </c>
      <c r="N879" s="9">
        <v>9</v>
      </c>
      <c r="O879" s="9" t="s">
        <v>57</v>
      </c>
      <c r="P879" s="9" t="s">
        <v>58</v>
      </c>
      <c r="Q879" s="9">
        <v>21</v>
      </c>
      <c r="R879" s="9">
        <v>1</v>
      </c>
      <c r="S879" s="9">
        <v>20</v>
      </c>
      <c r="T879" s="9">
        <v>11</v>
      </c>
      <c r="U879" s="9">
        <v>0</v>
      </c>
      <c r="V879" s="9" t="s">
        <v>114</v>
      </c>
      <c r="W879" s="9">
        <v>0</v>
      </c>
      <c r="X879" s="9">
        <v>0</v>
      </c>
      <c r="Y879" s="9">
        <v>0</v>
      </c>
      <c r="Z879" s="9">
        <v>0</v>
      </c>
      <c r="AA879" s="9">
        <v>12</v>
      </c>
      <c r="AB879" s="9">
        <v>7</v>
      </c>
      <c r="AC879" s="9">
        <v>14</v>
      </c>
      <c r="AD879" s="9" t="s">
        <v>0</v>
      </c>
      <c r="AE879" s="9" t="s">
        <v>60</v>
      </c>
    </row>
    <row r="880" spans="1:31" ht="63.75" x14ac:dyDescent="0.2">
      <c r="A880" s="8" t="str">
        <f>HYPERLINK("http://www.patentics.cn/invokexml.do?sx=showpatent_cn&amp;sf=ShowPatent&amp;spn=CN102067606B&amp;sx=showpatent_cn&amp;sv=e6738f4b9cc0d2b0ae6dc7c640d9877a","CN102067606B")</f>
        <v>CN102067606B</v>
      </c>
      <c r="B880" s="9" t="s">
        <v>3022</v>
      </c>
      <c r="C880" s="9" t="s">
        <v>3023</v>
      </c>
      <c r="D880" s="9" t="s">
        <v>301</v>
      </c>
      <c r="E880" s="9" t="s">
        <v>301</v>
      </c>
      <c r="F880" s="9" t="s">
        <v>3024</v>
      </c>
      <c r="G880" s="9" t="s">
        <v>3025</v>
      </c>
      <c r="H880" s="9" t="s">
        <v>3015</v>
      </c>
      <c r="I880" s="9" t="s">
        <v>1012</v>
      </c>
      <c r="J880" s="9" t="s">
        <v>3026</v>
      </c>
      <c r="K880" s="9" t="s">
        <v>714</v>
      </c>
      <c r="L880" s="9" t="s">
        <v>3027</v>
      </c>
      <c r="M880" s="9">
        <v>6</v>
      </c>
      <c r="N880" s="9">
        <v>8</v>
      </c>
      <c r="O880" s="9" t="s">
        <v>57</v>
      </c>
      <c r="P880" s="9" t="s">
        <v>58</v>
      </c>
      <c r="Q880" s="9">
        <v>3</v>
      </c>
      <c r="R880" s="9">
        <v>0</v>
      </c>
      <c r="S880" s="9">
        <v>3</v>
      </c>
      <c r="T880" s="9">
        <v>3</v>
      </c>
      <c r="U880" s="9">
        <v>0</v>
      </c>
      <c r="V880" s="9" t="s">
        <v>114</v>
      </c>
      <c r="W880" s="9">
        <v>0</v>
      </c>
      <c r="X880" s="9">
        <v>0</v>
      </c>
      <c r="Y880" s="9">
        <v>0</v>
      </c>
      <c r="Z880" s="9">
        <v>0</v>
      </c>
      <c r="AA880" s="9">
        <v>12</v>
      </c>
      <c r="AB880" s="9">
        <v>7</v>
      </c>
      <c r="AC880" s="9">
        <v>14</v>
      </c>
      <c r="AD880" s="9" t="s">
        <v>0</v>
      </c>
      <c r="AE880" s="9" t="s">
        <v>60</v>
      </c>
    </row>
    <row r="881" spans="1:31" ht="51" x14ac:dyDescent="0.2">
      <c r="A881" s="6" t="str">
        <f>HYPERLINK("http://www.patentics.cn/invokexml.do?sx=showpatent_cn&amp;sf=ShowPatent&amp;spn=CN1790267&amp;sx=showpatent_cn&amp;sv=720e2b769705ca94049f0b8041c7c356","CN1790267")</f>
        <v>CN1790267</v>
      </c>
      <c r="B881" s="7" t="s">
        <v>4406</v>
      </c>
      <c r="C881" s="7" t="s">
        <v>4407</v>
      </c>
      <c r="D881" s="7" t="s">
        <v>923</v>
      </c>
      <c r="E881" s="7" t="s">
        <v>923</v>
      </c>
      <c r="F881" s="7" t="s">
        <v>4408</v>
      </c>
      <c r="G881" s="7" t="s">
        <v>1783</v>
      </c>
      <c r="H881" s="7" t="s">
        <v>4409</v>
      </c>
      <c r="I881" s="7" t="s">
        <v>4409</v>
      </c>
      <c r="J881" s="7" t="s">
        <v>2634</v>
      </c>
      <c r="K881" s="7" t="s">
        <v>885</v>
      </c>
      <c r="L881" s="7" t="s">
        <v>4410</v>
      </c>
      <c r="M881" s="7">
        <v>1</v>
      </c>
      <c r="N881" s="7">
        <v>57</v>
      </c>
      <c r="O881" s="7" t="s">
        <v>42</v>
      </c>
      <c r="P881" s="7" t="s">
        <v>43</v>
      </c>
      <c r="Q881" s="7">
        <v>0</v>
      </c>
      <c r="R881" s="7">
        <v>0</v>
      </c>
      <c r="S881" s="7">
        <v>0</v>
      </c>
      <c r="T881" s="7">
        <v>0</v>
      </c>
      <c r="U881" s="7">
        <v>10</v>
      </c>
      <c r="V881" s="7" t="s">
        <v>4411</v>
      </c>
      <c r="W881" s="7">
        <v>0</v>
      </c>
      <c r="X881" s="7">
        <v>10</v>
      </c>
      <c r="Y881" s="7">
        <v>7</v>
      </c>
      <c r="Z881" s="7">
        <v>2</v>
      </c>
      <c r="AA881" s="7">
        <v>1</v>
      </c>
      <c r="AB881" s="7">
        <v>1</v>
      </c>
      <c r="AC881" s="7" t="s">
        <v>0</v>
      </c>
      <c r="AD881" s="7">
        <v>2</v>
      </c>
      <c r="AE881" s="7" t="s">
        <v>532</v>
      </c>
    </row>
    <row r="882" spans="1:31" ht="63.75" x14ac:dyDescent="0.2">
      <c r="A882" s="8" t="str">
        <f>HYPERLINK("http://www.patentics.cn/invokexml.do?sx=showpatent_cn&amp;sf=ShowPatent&amp;spn=US9003380&amp;sx=showpatent_cn&amp;sv=6390b04650112cee654fb7788c2cf225","US9003380")</f>
        <v>US9003380</v>
      </c>
      <c r="B882" s="9" t="s">
        <v>4412</v>
      </c>
      <c r="C882" s="9" t="s">
        <v>4413</v>
      </c>
      <c r="D882" s="9" t="s">
        <v>48</v>
      </c>
      <c r="E882" s="9" t="s">
        <v>49</v>
      </c>
      <c r="F882" s="9" t="s">
        <v>4414</v>
      </c>
      <c r="G882" s="9" t="s">
        <v>4415</v>
      </c>
      <c r="H882" s="9" t="s">
        <v>4416</v>
      </c>
      <c r="I882" s="9" t="s">
        <v>2199</v>
      </c>
      <c r="J882" s="9" t="s">
        <v>1110</v>
      </c>
      <c r="K882" s="9" t="s">
        <v>885</v>
      </c>
      <c r="L882" s="9" t="s">
        <v>4410</v>
      </c>
      <c r="M882" s="9">
        <v>40</v>
      </c>
      <c r="N882" s="9">
        <v>15</v>
      </c>
      <c r="O882" s="9" t="s">
        <v>57</v>
      </c>
      <c r="P882" s="9" t="s">
        <v>58</v>
      </c>
      <c r="Q882" s="9">
        <v>20</v>
      </c>
      <c r="R882" s="9">
        <v>0</v>
      </c>
      <c r="S882" s="9">
        <v>20</v>
      </c>
      <c r="T882" s="9">
        <v>14</v>
      </c>
      <c r="U882" s="9">
        <v>0</v>
      </c>
      <c r="V882" s="9" t="s">
        <v>114</v>
      </c>
      <c r="W882" s="9">
        <v>0</v>
      </c>
      <c r="X882" s="9">
        <v>0</v>
      </c>
      <c r="Y882" s="9">
        <v>0</v>
      </c>
      <c r="Z882" s="9">
        <v>0</v>
      </c>
      <c r="AA882" s="9">
        <v>9</v>
      </c>
      <c r="AB882" s="9">
        <v>6</v>
      </c>
      <c r="AC882" s="9">
        <v>14</v>
      </c>
      <c r="AD882" s="9" t="s">
        <v>0</v>
      </c>
      <c r="AE882" s="9" t="s">
        <v>60</v>
      </c>
    </row>
    <row r="883" spans="1:31" ht="63.75" x14ac:dyDescent="0.2">
      <c r="A883" s="8" t="str">
        <f>HYPERLINK("http://www.patentics.cn/invokexml.do?sx=showpatent_cn&amp;sf=ShowPatent&amp;spn=CN102741812&amp;sx=showpatent_cn&amp;sv=59d4ab55c4fc3c0de3259ea8d00545eb","CN102741812")</f>
        <v>CN102741812</v>
      </c>
      <c r="B883" s="9" t="s">
        <v>4417</v>
      </c>
      <c r="C883" s="9" t="s">
        <v>4418</v>
      </c>
      <c r="D883" s="9" t="s">
        <v>301</v>
      </c>
      <c r="E883" s="9" t="s">
        <v>301</v>
      </c>
      <c r="F883" s="9" t="s">
        <v>4419</v>
      </c>
      <c r="G883" s="9" t="s">
        <v>4420</v>
      </c>
      <c r="H883" s="9" t="s">
        <v>4416</v>
      </c>
      <c r="I883" s="9" t="s">
        <v>4421</v>
      </c>
      <c r="J883" s="9" t="s">
        <v>3251</v>
      </c>
      <c r="K883" s="9" t="s">
        <v>885</v>
      </c>
      <c r="L883" s="9" t="s">
        <v>4422</v>
      </c>
      <c r="M883" s="9">
        <v>44</v>
      </c>
      <c r="N883" s="9">
        <v>10</v>
      </c>
      <c r="O883" s="9" t="s">
        <v>42</v>
      </c>
      <c r="P883" s="9" t="s">
        <v>58</v>
      </c>
      <c r="Q883" s="9">
        <v>5</v>
      </c>
      <c r="R883" s="9">
        <v>0</v>
      </c>
      <c r="S883" s="9">
        <v>5</v>
      </c>
      <c r="T883" s="9">
        <v>4</v>
      </c>
      <c r="U883" s="9">
        <v>1</v>
      </c>
      <c r="V883" s="9" t="s">
        <v>78</v>
      </c>
      <c r="W883" s="9">
        <v>0</v>
      </c>
      <c r="X883" s="9">
        <v>1</v>
      </c>
      <c r="Y883" s="9">
        <v>1</v>
      </c>
      <c r="Z883" s="9">
        <v>1</v>
      </c>
      <c r="AA883" s="9">
        <v>9</v>
      </c>
      <c r="AB883" s="9">
        <v>6</v>
      </c>
      <c r="AC883" s="9">
        <v>14</v>
      </c>
      <c r="AD883" s="9" t="s">
        <v>0</v>
      </c>
      <c r="AE883" s="9" t="s">
        <v>60</v>
      </c>
    </row>
    <row r="884" spans="1:31" ht="38.25" x14ac:dyDescent="0.2">
      <c r="A884" s="6" t="str">
        <f>HYPERLINK("http://www.patentics.cn/invokexml.do?sx=showpatent_cn&amp;sf=ShowPatent&amp;spn=CN1787400&amp;sx=showpatent_cn&amp;sv=78573e8b7acd2484c41dab0f8861a576","CN1787400")</f>
        <v>CN1787400</v>
      </c>
      <c r="B884" s="7" t="s">
        <v>4423</v>
      </c>
      <c r="C884" s="7" t="s">
        <v>4424</v>
      </c>
      <c r="D884" s="7" t="s">
        <v>35</v>
      </c>
      <c r="E884" s="7" t="s">
        <v>35</v>
      </c>
      <c r="F884" s="7" t="s">
        <v>4425</v>
      </c>
      <c r="G884" s="7" t="s">
        <v>4426</v>
      </c>
      <c r="H884" s="7" t="s">
        <v>4427</v>
      </c>
      <c r="I884" s="7" t="s">
        <v>4427</v>
      </c>
      <c r="J884" s="7" t="s">
        <v>4428</v>
      </c>
      <c r="K884" s="7" t="s">
        <v>89</v>
      </c>
      <c r="L884" s="7" t="s">
        <v>340</v>
      </c>
      <c r="M884" s="7">
        <v>1</v>
      </c>
      <c r="N884" s="7">
        <v>46</v>
      </c>
      <c r="O884" s="7" t="s">
        <v>42</v>
      </c>
      <c r="P884" s="7" t="s">
        <v>43</v>
      </c>
      <c r="Q884" s="7">
        <v>0</v>
      </c>
      <c r="R884" s="7">
        <v>0</v>
      </c>
      <c r="S884" s="7">
        <v>0</v>
      </c>
      <c r="T884" s="7">
        <v>0</v>
      </c>
      <c r="U884" s="7">
        <v>5</v>
      </c>
      <c r="V884" s="7" t="s">
        <v>4429</v>
      </c>
      <c r="W884" s="7">
        <v>0</v>
      </c>
      <c r="X884" s="7">
        <v>5</v>
      </c>
      <c r="Y884" s="7">
        <v>3</v>
      </c>
      <c r="Z884" s="7">
        <v>2</v>
      </c>
      <c r="AA884" s="7">
        <v>1</v>
      </c>
      <c r="AB884" s="7">
        <v>1</v>
      </c>
      <c r="AC884" s="7" t="s">
        <v>0</v>
      </c>
      <c r="AD884" s="7">
        <v>2</v>
      </c>
      <c r="AE884" s="7" t="s">
        <v>532</v>
      </c>
    </row>
    <row r="885" spans="1:31" ht="38.25" x14ac:dyDescent="0.2">
      <c r="A885" s="8" t="str">
        <f>HYPERLINK("http://www.patentics.cn/invokexml.do?sx=showpatent_cn&amp;sf=ShowPatent&amp;spn=US9294160&amp;sx=showpatent_cn&amp;sv=d67d742ca7c29fb5a3c8f1bce70a8a02","US9294160")</f>
        <v>US9294160</v>
      </c>
      <c r="B885" s="9" t="s">
        <v>4430</v>
      </c>
      <c r="C885" s="9" t="s">
        <v>4431</v>
      </c>
      <c r="D885" s="9" t="s">
        <v>48</v>
      </c>
      <c r="E885" s="9" t="s">
        <v>49</v>
      </c>
      <c r="F885" s="9" t="s">
        <v>4432</v>
      </c>
      <c r="G885" s="9" t="s">
        <v>4433</v>
      </c>
      <c r="H885" s="9" t="s">
        <v>2057</v>
      </c>
      <c r="I885" s="9" t="s">
        <v>4434</v>
      </c>
      <c r="J885" s="9" t="s">
        <v>798</v>
      </c>
      <c r="K885" s="9" t="s">
        <v>89</v>
      </c>
      <c r="L885" s="9" t="s">
        <v>263</v>
      </c>
      <c r="M885" s="9">
        <v>28</v>
      </c>
      <c r="N885" s="9">
        <v>12</v>
      </c>
      <c r="O885" s="9" t="s">
        <v>57</v>
      </c>
      <c r="P885" s="9" t="s">
        <v>58</v>
      </c>
      <c r="Q885" s="9">
        <v>51</v>
      </c>
      <c r="R885" s="9">
        <v>7</v>
      </c>
      <c r="S885" s="9">
        <v>44</v>
      </c>
      <c r="T885" s="9">
        <v>21</v>
      </c>
      <c r="U885" s="9">
        <v>1</v>
      </c>
      <c r="V885" s="9" t="s">
        <v>264</v>
      </c>
      <c r="W885" s="9">
        <v>0</v>
      </c>
      <c r="X885" s="9">
        <v>1</v>
      </c>
      <c r="Y885" s="9">
        <v>1</v>
      </c>
      <c r="Z885" s="9">
        <v>1</v>
      </c>
      <c r="AA885" s="9">
        <v>24</v>
      </c>
      <c r="AB885" s="9">
        <v>11</v>
      </c>
      <c r="AC885" s="9">
        <v>14</v>
      </c>
      <c r="AD885" s="9" t="s">
        <v>0</v>
      </c>
      <c r="AE885" s="9" t="s">
        <v>60</v>
      </c>
    </row>
    <row r="886" spans="1:31" ht="140.25" x14ac:dyDescent="0.2">
      <c r="A886" s="8" t="str">
        <f>HYPERLINK("http://www.patentics.cn/invokexml.do?sx=showpatent_cn&amp;sf=ShowPatent&amp;spn=US9755705&amp;sx=showpatent_cn&amp;sv=0c78f084104ab75a82ca4b8cba40c20a","US9755705")</f>
        <v>US9755705</v>
      </c>
      <c r="B886" s="9" t="s">
        <v>4435</v>
      </c>
      <c r="C886" s="9" t="s">
        <v>4436</v>
      </c>
      <c r="D886" s="9" t="s">
        <v>48</v>
      </c>
      <c r="E886" s="9" t="s">
        <v>49</v>
      </c>
      <c r="F886" s="9" t="s">
        <v>4437</v>
      </c>
      <c r="G886" s="9" t="s">
        <v>4433</v>
      </c>
      <c r="H886" s="9" t="s">
        <v>4438</v>
      </c>
      <c r="I886" s="9" t="s">
        <v>4434</v>
      </c>
      <c r="J886" s="9" t="s">
        <v>1338</v>
      </c>
      <c r="K886" s="9" t="s">
        <v>55</v>
      </c>
      <c r="L886" s="9" t="s">
        <v>56</v>
      </c>
      <c r="M886" s="9">
        <v>55</v>
      </c>
      <c r="N886" s="9">
        <v>22</v>
      </c>
      <c r="O886" s="9" t="s">
        <v>57</v>
      </c>
      <c r="P886" s="9" t="s">
        <v>58</v>
      </c>
      <c r="Q886" s="9">
        <v>52</v>
      </c>
      <c r="R886" s="9">
        <v>5</v>
      </c>
      <c r="S886" s="9">
        <v>47</v>
      </c>
      <c r="T886" s="9">
        <v>21</v>
      </c>
      <c r="U886" s="9">
        <v>0</v>
      </c>
      <c r="V886" s="9" t="s">
        <v>114</v>
      </c>
      <c r="W886" s="9">
        <v>0</v>
      </c>
      <c r="X886" s="9">
        <v>0</v>
      </c>
      <c r="Y886" s="9">
        <v>0</v>
      </c>
      <c r="Z886" s="9">
        <v>0</v>
      </c>
      <c r="AA886" s="9">
        <v>31</v>
      </c>
      <c r="AB886" s="9">
        <v>14</v>
      </c>
      <c r="AC886" s="9">
        <v>14</v>
      </c>
      <c r="AD886" s="9" t="s">
        <v>0</v>
      </c>
      <c r="AE886" s="9" t="s">
        <v>60</v>
      </c>
    </row>
    <row r="887" spans="1:31" ht="25.5" x14ac:dyDescent="0.2">
      <c r="A887" s="6" t="str">
        <f>HYPERLINK("http://www.patentics.cn/invokexml.do?sx=showpatent_cn&amp;sf=ShowPatent&amp;spn=CN1764281&amp;sx=showpatent_cn&amp;sv=60e98e37a550087c872a5b0d8ede7813","CN1764281")</f>
        <v>CN1764281</v>
      </c>
      <c r="B887" s="7" t="s">
        <v>4439</v>
      </c>
      <c r="C887" s="7" t="s">
        <v>4440</v>
      </c>
      <c r="D887" s="7" t="s">
        <v>4441</v>
      </c>
      <c r="E887" s="7" t="s">
        <v>4441</v>
      </c>
      <c r="F887" s="7" t="s">
        <v>4442</v>
      </c>
      <c r="G887" s="7" t="s">
        <v>4443</v>
      </c>
      <c r="H887" s="7" t="s">
        <v>4444</v>
      </c>
      <c r="I887" s="7" t="s">
        <v>4444</v>
      </c>
      <c r="J887" s="7" t="s">
        <v>4445</v>
      </c>
      <c r="K887" s="7" t="s">
        <v>714</v>
      </c>
      <c r="L887" s="7" t="s">
        <v>4446</v>
      </c>
      <c r="M887" s="7">
        <v>2</v>
      </c>
      <c r="N887" s="7">
        <v>16</v>
      </c>
      <c r="O887" s="7" t="s">
        <v>42</v>
      </c>
      <c r="P887" s="7" t="s">
        <v>43</v>
      </c>
      <c r="Q887" s="7">
        <v>0</v>
      </c>
      <c r="R887" s="7">
        <v>0</v>
      </c>
      <c r="S887" s="7">
        <v>0</v>
      </c>
      <c r="T887" s="7">
        <v>0</v>
      </c>
      <c r="U887" s="7">
        <v>2</v>
      </c>
      <c r="V887" s="7" t="s">
        <v>78</v>
      </c>
      <c r="W887" s="7">
        <v>0</v>
      </c>
      <c r="X887" s="7">
        <v>2</v>
      </c>
      <c r="Y887" s="7">
        <v>1</v>
      </c>
      <c r="Z887" s="7">
        <v>1</v>
      </c>
      <c r="AA887" s="7">
        <v>1</v>
      </c>
      <c r="AB887" s="7">
        <v>1</v>
      </c>
      <c r="AC887" s="7" t="s">
        <v>0</v>
      </c>
      <c r="AD887" s="7">
        <v>2</v>
      </c>
      <c r="AE887" s="7" t="s">
        <v>532</v>
      </c>
    </row>
    <row r="888" spans="1:31" ht="38.25" x14ac:dyDescent="0.2">
      <c r="A888" s="8" t="str">
        <f>HYPERLINK("http://www.patentics.cn/invokexml.do?sx=showpatent_cn&amp;sf=ShowPatent&amp;spn=CN102792689B&amp;sx=showpatent_cn&amp;sv=b4cc35e00c09c96b7f3fd25ecb10824d","CN102792689B")</f>
        <v>CN102792689B</v>
      </c>
      <c r="B888" s="9" t="s">
        <v>4447</v>
      </c>
      <c r="C888" s="9" t="s">
        <v>4448</v>
      </c>
      <c r="D888" s="9" t="s">
        <v>301</v>
      </c>
      <c r="E888" s="9" t="s">
        <v>301</v>
      </c>
      <c r="F888" s="9" t="s">
        <v>4449</v>
      </c>
      <c r="G888" s="9" t="s">
        <v>4449</v>
      </c>
      <c r="H888" s="9" t="s">
        <v>4450</v>
      </c>
      <c r="I888" s="9" t="s">
        <v>4451</v>
      </c>
      <c r="J888" s="9" t="s">
        <v>330</v>
      </c>
      <c r="K888" s="9" t="s">
        <v>714</v>
      </c>
      <c r="L888" s="9" t="s">
        <v>4452</v>
      </c>
      <c r="M888" s="9">
        <v>18</v>
      </c>
      <c r="N888" s="9">
        <v>21</v>
      </c>
      <c r="O888" s="9" t="s">
        <v>57</v>
      </c>
      <c r="P888" s="9" t="s">
        <v>58</v>
      </c>
      <c r="Q888" s="9">
        <v>10</v>
      </c>
      <c r="R888" s="9">
        <v>0</v>
      </c>
      <c r="S888" s="9">
        <v>10</v>
      </c>
      <c r="T888" s="9">
        <v>10</v>
      </c>
      <c r="U888" s="9">
        <v>0</v>
      </c>
      <c r="V888" s="9" t="s">
        <v>114</v>
      </c>
      <c r="W888" s="9">
        <v>0</v>
      </c>
      <c r="X888" s="9">
        <v>0</v>
      </c>
      <c r="Y888" s="9">
        <v>0</v>
      </c>
      <c r="Z888" s="9">
        <v>0</v>
      </c>
      <c r="AA888" s="9">
        <v>0</v>
      </c>
      <c r="AB888" s="9">
        <v>0</v>
      </c>
      <c r="AC888" s="9">
        <v>14</v>
      </c>
      <c r="AD888" s="9" t="s">
        <v>0</v>
      </c>
      <c r="AE888" s="9" t="s">
        <v>60</v>
      </c>
    </row>
    <row r="889" spans="1:31" ht="38.25" x14ac:dyDescent="0.2">
      <c r="A889" s="8" t="str">
        <f>HYPERLINK("http://www.patentics.cn/invokexml.do?sx=showpatent_cn&amp;sf=ShowPatent&amp;spn=CN102792689&amp;sx=showpatent_cn&amp;sv=43adfb99ae6e7588fe204b744a68355c","CN102792689")</f>
        <v>CN102792689</v>
      </c>
      <c r="B889" s="9" t="s">
        <v>4447</v>
      </c>
      <c r="C889" s="9" t="s">
        <v>4448</v>
      </c>
      <c r="D889" s="9" t="s">
        <v>301</v>
      </c>
      <c r="E889" s="9" t="s">
        <v>301</v>
      </c>
      <c r="F889" s="9" t="s">
        <v>4449</v>
      </c>
      <c r="G889" s="9" t="s">
        <v>4449</v>
      </c>
      <c r="H889" s="9" t="s">
        <v>4450</v>
      </c>
      <c r="I889" s="9" t="s">
        <v>4451</v>
      </c>
      <c r="J889" s="9" t="s">
        <v>1681</v>
      </c>
      <c r="K889" s="9" t="s">
        <v>714</v>
      </c>
      <c r="L889" s="9" t="s">
        <v>1346</v>
      </c>
      <c r="M889" s="9">
        <v>22</v>
      </c>
      <c r="N889" s="9">
        <v>8</v>
      </c>
      <c r="O889" s="9" t="s">
        <v>42</v>
      </c>
      <c r="P889" s="9" t="s">
        <v>58</v>
      </c>
      <c r="Q889" s="9">
        <v>10</v>
      </c>
      <c r="R889" s="9">
        <v>0</v>
      </c>
      <c r="S889" s="9">
        <v>10</v>
      </c>
      <c r="T889" s="9">
        <v>10</v>
      </c>
      <c r="U889" s="9">
        <v>0</v>
      </c>
      <c r="V889" s="9" t="s">
        <v>114</v>
      </c>
      <c r="W889" s="9">
        <v>0</v>
      </c>
      <c r="X889" s="9">
        <v>0</v>
      </c>
      <c r="Y889" s="9">
        <v>0</v>
      </c>
      <c r="Z889" s="9">
        <v>0</v>
      </c>
      <c r="AA889" s="9">
        <v>6</v>
      </c>
      <c r="AB889" s="9">
        <v>6</v>
      </c>
      <c r="AC889" s="9">
        <v>14</v>
      </c>
      <c r="AD889" s="9" t="s">
        <v>0</v>
      </c>
      <c r="AE889" s="9" t="s">
        <v>60</v>
      </c>
    </row>
    <row r="890" spans="1:31" ht="38.25" x14ac:dyDescent="0.2">
      <c r="A890" s="6" t="str">
        <f>HYPERLINK("http://www.patentics.cn/invokexml.do?sx=showpatent_cn&amp;sf=ShowPatent&amp;spn=CN1719897&amp;sx=showpatent_cn&amp;sv=ffd09604c82cc72022b3d7cb9ab2b85a","CN1719897")</f>
        <v>CN1719897</v>
      </c>
      <c r="B890" s="7" t="s">
        <v>4453</v>
      </c>
      <c r="C890" s="7" t="s">
        <v>4454</v>
      </c>
      <c r="D890" s="7" t="s">
        <v>2246</v>
      </c>
      <c r="E890" s="7" t="s">
        <v>2246</v>
      </c>
      <c r="F890" s="7" t="s">
        <v>4455</v>
      </c>
      <c r="G890" s="7" t="s">
        <v>4456</v>
      </c>
      <c r="H890" s="7" t="s">
        <v>4457</v>
      </c>
      <c r="I890" s="7" t="s">
        <v>4457</v>
      </c>
      <c r="J890" s="7" t="s">
        <v>2864</v>
      </c>
      <c r="K890" s="7" t="s">
        <v>714</v>
      </c>
      <c r="L890" s="7" t="s">
        <v>1346</v>
      </c>
      <c r="M890" s="7">
        <v>9</v>
      </c>
      <c r="N890" s="7">
        <v>30</v>
      </c>
      <c r="O890" s="7" t="s">
        <v>42</v>
      </c>
      <c r="P890" s="7" t="s">
        <v>43</v>
      </c>
      <c r="Q890" s="7">
        <v>2</v>
      </c>
      <c r="R890" s="7">
        <v>0</v>
      </c>
      <c r="S890" s="7">
        <v>2</v>
      </c>
      <c r="T890" s="7">
        <v>2</v>
      </c>
      <c r="U890" s="7">
        <v>5</v>
      </c>
      <c r="V890" s="7" t="s">
        <v>4458</v>
      </c>
      <c r="W890" s="7">
        <v>0</v>
      </c>
      <c r="X890" s="7">
        <v>5</v>
      </c>
      <c r="Y890" s="7">
        <v>3</v>
      </c>
      <c r="Z890" s="7">
        <v>1</v>
      </c>
      <c r="AA890" s="7">
        <v>2</v>
      </c>
      <c r="AB890" s="7">
        <v>2</v>
      </c>
      <c r="AC890" s="7" t="s">
        <v>0</v>
      </c>
      <c r="AD890" s="7">
        <v>2</v>
      </c>
      <c r="AE890" s="7" t="s">
        <v>532</v>
      </c>
    </row>
    <row r="891" spans="1:31" x14ac:dyDescent="0.2">
      <c r="A891" s="8" t="str">
        <f>HYPERLINK("http://www.patentics.cn/invokexml.do?sx=showpatent_cn&amp;sf=ShowPatent&amp;spn=CN103069795B&amp;sx=showpatent_cn&amp;sv=5336cf8366d6188d0d9ac64fa11ab1e5","CN103069795B")</f>
        <v>CN103069795B</v>
      </c>
      <c r="B891" s="9" t="s">
        <v>4459</v>
      </c>
      <c r="C891" s="9" t="s">
        <v>4460</v>
      </c>
      <c r="D891" s="9" t="s">
        <v>301</v>
      </c>
      <c r="E891" s="9" t="s">
        <v>301</v>
      </c>
      <c r="F891" s="9" t="s">
        <v>4461</v>
      </c>
      <c r="G891" s="9" t="s">
        <v>4461</v>
      </c>
      <c r="H891" s="9" t="s">
        <v>4462</v>
      </c>
      <c r="I891" s="9" t="s">
        <v>4463</v>
      </c>
      <c r="J891" s="9" t="s">
        <v>1220</v>
      </c>
      <c r="K891" s="9" t="s">
        <v>714</v>
      </c>
      <c r="L891" s="9" t="s">
        <v>1360</v>
      </c>
      <c r="M891" s="9">
        <v>46</v>
      </c>
      <c r="N891" s="9">
        <v>14</v>
      </c>
      <c r="O891" s="9" t="s">
        <v>57</v>
      </c>
      <c r="P891" s="9" t="s">
        <v>58</v>
      </c>
      <c r="Q891" s="9">
        <v>5</v>
      </c>
      <c r="R891" s="9">
        <v>0</v>
      </c>
      <c r="S891" s="9">
        <v>5</v>
      </c>
      <c r="T891" s="9">
        <v>4</v>
      </c>
      <c r="U891" s="9">
        <v>0</v>
      </c>
      <c r="V891" s="9" t="s">
        <v>114</v>
      </c>
      <c r="W891" s="9">
        <v>0</v>
      </c>
      <c r="X891" s="9">
        <v>0</v>
      </c>
      <c r="Y891" s="9">
        <v>0</v>
      </c>
      <c r="Z891" s="9">
        <v>0</v>
      </c>
      <c r="AA891" s="9">
        <v>0</v>
      </c>
      <c r="AB891" s="9">
        <v>0</v>
      </c>
      <c r="AC891" s="9">
        <v>14</v>
      </c>
      <c r="AD891" s="9" t="s">
        <v>0</v>
      </c>
      <c r="AE891" s="9" t="s">
        <v>60</v>
      </c>
    </row>
    <row r="892" spans="1:31" x14ac:dyDescent="0.2">
      <c r="A892" s="8" t="str">
        <f>HYPERLINK("http://www.patentics.cn/invokexml.do?sx=showpatent_cn&amp;sf=ShowPatent&amp;spn=CN103069795&amp;sx=showpatent_cn&amp;sv=de2c76834058d684faa44ecbc8f36bd3","CN103069795")</f>
        <v>CN103069795</v>
      </c>
      <c r="B892" s="9" t="s">
        <v>4459</v>
      </c>
      <c r="C892" s="9" t="s">
        <v>4460</v>
      </c>
      <c r="D892" s="9" t="s">
        <v>301</v>
      </c>
      <c r="E892" s="9" t="s">
        <v>301</v>
      </c>
      <c r="F892" s="9" t="s">
        <v>4461</v>
      </c>
      <c r="G892" s="9" t="s">
        <v>4461</v>
      </c>
      <c r="H892" s="9" t="s">
        <v>4462</v>
      </c>
      <c r="I892" s="9" t="s">
        <v>4463</v>
      </c>
      <c r="J892" s="9" t="s">
        <v>4464</v>
      </c>
      <c r="K892" s="9" t="s">
        <v>714</v>
      </c>
      <c r="L892" s="9" t="s">
        <v>1360</v>
      </c>
      <c r="M892" s="9">
        <v>46</v>
      </c>
      <c r="N892" s="9">
        <v>14</v>
      </c>
      <c r="O892" s="9" t="s">
        <v>42</v>
      </c>
      <c r="P892" s="9" t="s">
        <v>58</v>
      </c>
      <c r="Q892" s="9">
        <v>5</v>
      </c>
      <c r="R892" s="9">
        <v>0</v>
      </c>
      <c r="S892" s="9">
        <v>5</v>
      </c>
      <c r="T892" s="9">
        <v>4</v>
      </c>
      <c r="U892" s="9">
        <v>0</v>
      </c>
      <c r="V892" s="9" t="s">
        <v>114</v>
      </c>
      <c r="W892" s="9">
        <v>0</v>
      </c>
      <c r="X892" s="9">
        <v>0</v>
      </c>
      <c r="Y892" s="9">
        <v>0</v>
      </c>
      <c r="Z892" s="9">
        <v>0</v>
      </c>
      <c r="AA892" s="9">
        <v>6</v>
      </c>
      <c r="AB892" s="9">
        <v>6</v>
      </c>
      <c r="AC892" s="9">
        <v>14</v>
      </c>
      <c r="AD892" s="9" t="s">
        <v>0</v>
      </c>
      <c r="AE892" s="9" t="s">
        <v>60</v>
      </c>
    </row>
    <row r="893" spans="1:31" ht="38.25" x14ac:dyDescent="0.2">
      <c r="A893" s="6" t="str">
        <f>HYPERLINK("http://www.patentics.cn/invokexml.do?sx=showpatent_cn&amp;sf=ShowPatent&amp;spn=CN1694535&amp;sx=showpatent_cn&amp;sv=211bce28a01d7906f2960e9b8fb2fca5","CN1694535")</f>
        <v>CN1694535</v>
      </c>
      <c r="B893" s="7" t="s">
        <v>4465</v>
      </c>
      <c r="C893" s="7" t="s">
        <v>4466</v>
      </c>
      <c r="D893" s="7" t="s">
        <v>923</v>
      </c>
      <c r="E893" s="7" t="s">
        <v>923</v>
      </c>
      <c r="F893" s="7" t="s">
        <v>4467</v>
      </c>
      <c r="G893" s="7" t="s">
        <v>4468</v>
      </c>
      <c r="H893" s="7" t="s">
        <v>4469</v>
      </c>
      <c r="I893" s="7" t="s">
        <v>4469</v>
      </c>
      <c r="J893" s="7" t="s">
        <v>4470</v>
      </c>
      <c r="K893" s="7" t="s">
        <v>714</v>
      </c>
      <c r="L893" s="7" t="s">
        <v>1346</v>
      </c>
      <c r="M893" s="7">
        <v>8</v>
      </c>
      <c r="N893" s="7">
        <v>34</v>
      </c>
      <c r="O893" s="7" t="s">
        <v>42</v>
      </c>
      <c r="P893" s="7" t="s">
        <v>43</v>
      </c>
      <c r="Q893" s="7">
        <v>0</v>
      </c>
      <c r="R893" s="7">
        <v>0</v>
      </c>
      <c r="S893" s="7">
        <v>0</v>
      </c>
      <c r="T893" s="7">
        <v>0</v>
      </c>
      <c r="U893" s="7">
        <v>14</v>
      </c>
      <c r="V893" s="7" t="s">
        <v>4471</v>
      </c>
      <c r="W893" s="7">
        <v>0</v>
      </c>
      <c r="X893" s="7">
        <v>14</v>
      </c>
      <c r="Y893" s="7">
        <v>11</v>
      </c>
      <c r="Z893" s="7">
        <v>2</v>
      </c>
      <c r="AA893" s="7">
        <v>1</v>
      </c>
      <c r="AB893" s="7">
        <v>1</v>
      </c>
      <c r="AC893" s="7" t="s">
        <v>0</v>
      </c>
      <c r="AD893" s="7">
        <v>2</v>
      </c>
      <c r="AE893" s="7" t="s">
        <v>532</v>
      </c>
    </row>
    <row r="894" spans="1:31" ht="63.75" x14ac:dyDescent="0.2">
      <c r="A894" s="8" t="str">
        <f>HYPERLINK("http://www.patentics.cn/invokexml.do?sx=showpatent_cn&amp;sf=ShowPatent&amp;spn=CN101375606B&amp;sx=showpatent_cn&amp;sv=d3826b2a34e147ed57e5b2f8a4b37a55","CN101375606B")</f>
        <v>CN101375606B</v>
      </c>
      <c r="B894" s="9" t="s">
        <v>4472</v>
      </c>
      <c r="C894" s="9" t="s">
        <v>4473</v>
      </c>
      <c r="D894" s="9" t="s">
        <v>301</v>
      </c>
      <c r="E894" s="9" t="s">
        <v>301</v>
      </c>
      <c r="F894" s="9" t="s">
        <v>4474</v>
      </c>
      <c r="G894" s="9" t="s">
        <v>3025</v>
      </c>
      <c r="H894" s="9" t="s">
        <v>4475</v>
      </c>
      <c r="I894" s="9" t="s">
        <v>4476</v>
      </c>
      <c r="J894" s="9" t="s">
        <v>2874</v>
      </c>
      <c r="K894" s="9" t="s">
        <v>714</v>
      </c>
      <c r="L894" s="9" t="s">
        <v>1346</v>
      </c>
      <c r="M894" s="9">
        <v>30</v>
      </c>
      <c r="N894" s="9">
        <v>20</v>
      </c>
      <c r="O894" s="9" t="s">
        <v>57</v>
      </c>
      <c r="P894" s="9" t="s">
        <v>58</v>
      </c>
      <c r="Q894" s="9">
        <v>1</v>
      </c>
      <c r="R894" s="9">
        <v>0</v>
      </c>
      <c r="S894" s="9">
        <v>1</v>
      </c>
      <c r="T894" s="9">
        <v>1</v>
      </c>
      <c r="U894" s="9">
        <v>0</v>
      </c>
      <c r="V894" s="9" t="s">
        <v>114</v>
      </c>
      <c r="W894" s="9">
        <v>0</v>
      </c>
      <c r="X894" s="9">
        <v>0</v>
      </c>
      <c r="Y894" s="9">
        <v>0</v>
      </c>
      <c r="Z894" s="9">
        <v>0</v>
      </c>
      <c r="AA894" s="9">
        <v>9</v>
      </c>
      <c r="AB894" s="9">
        <v>6</v>
      </c>
      <c r="AC894" s="9">
        <v>14</v>
      </c>
      <c r="AD894" s="9" t="s">
        <v>0</v>
      </c>
      <c r="AE894" s="9" t="s">
        <v>532</v>
      </c>
    </row>
    <row r="895" spans="1:31" ht="25.5" x14ac:dyDescent="0.2">
      <c r="A895" s="8" t="str">
        <f>HYPERLINK("http://www.patentics.cn/invokexml.do?sx=showpatent_cn&amp;sf=ShowPatent&amp;spn=CN101563928B&amp;sx=showpatent_cn&amp;sv=0349560c43ccd175fc8fd83fe1bbb8d7","CN101563928B")</f>
        <v>CN101563928B</v>
      </c>
      <c r="B895" s="9" t="s">
        <v>4477</v>
      </c>
      <c r="C895" s="9" t="s">
        <v>4478</v>
      </c>
      <c r="D895" s="9" t="s">
        <v>301</v>
      </c>
      <c r="E895" s="9" t="s">
        <v>301</v>
      </c>
      <c r="F895" s="9" t="s">
        <v>4479</v>
      </c>
      <c r="G895" s="9" t="s">
        <v>4479</v>
      </c>
      <c r="H895" s="9" t="s">
        <v>4480</v>
      </c>
      <c r="I895" s="9" t="s">
        <v>4481</v>
      </c>
      <c r="J895" s="9" t="s">
        <v>4482</v>
      </c>
      <c r="K895" s="9" t="s">
        <v>714</v>
      </c>
      <c r="L895" s="9" t="s">
        <v>1346</v>
      </c>
      <c r="M895" s="9">
        <v>48</v>
      </c>
      <c r="N895" s="9">
        <v>8</v>
      </c>
      <c r="O895" s="9" t="s">
        <v>57</v>
      </c>
      <c r="P895" s="9" t="s">
        <v>58</v>
      </c>
      <c r="Q895" s="9">
        <v>5</v>
      </c>
      <c r="R895" s="9">
        <v>0</v>
      </c>
      <c r="S895" s="9">
        <v>5</v>
      </c>
      <c r="T895" s="9">
        <v>5</v>
      </c>
      <c r="U895" s="9">
        <v>0</v>
      </c>
      <c r="V895" s="9" t="s">
        <v>114</v>
      </c>
      <c r="W895" s="9">
        <v>0</v>
      </c>
      <c r="X895" s="9">
        <v>0</v>
      </c>
      <c r="Y895" s="9">
        <v>0</v>
      </c>
      <c r="Z895" s="9">
        <v>0</v>
      </c>
      <c r="AA895" s="9">
        <v>12</v>
      </c>
      <c r="AB895" s="9">
        <v>6</v>
      </c>
      <c r="AC895" s="9">
        <v>14</v>
      </c>
      <c r="AD895" s="9" t="s">
        <v>0</v>
      </c>
      <c r="AE895" s="9" t="s">
        <v>60</v>
      </c>
    </row>
    <row r="896" spans="1:31" ht="51" x14ac:dyDescent="0.2">
      <c r="A896" s="6" t="str">
        <f>HYPERLINK("http://www.patentics.cn/invokexml.do?sx=showpatent_cn&amp;sf=ShowPatent&amp;spn=CN1691654&amp;sx=showpatent_cn&amp;sv=6389cbb077ec1929d4bf00db1c45ef01","CN1691654")</f>
        <v>CN1691654</v>
      </c>
      <c r="B896" s="7" t="s">
        <v>4483</v>
      </c>
      <c r="C896" s="7" t="s">
        <v>4484</v>
      </c>
      <c r="D896" s="7" t="s">
        <v>333</v>
      </c>
      <c r="E896" s="7" t="s">
        <v>334</v>
      </c>
      <c r="F896" s="7" t="s">
        <v>4485</v>
      </c>
      <c r="G896" s="7" t="s">
        <v>4486</v>
      </c>
      <c r="H896" s="7" t="s">
        <v>4487</v>
      </c>
      <c r="I896" s="7" t="s">
        <v>4488</v>
      </c>
      <c r="J896" s="7" t="s">
        <v>4489</v>
      </c>
      <c r="K896" s="7" t="s">
        <v>68</v>
      </c>
      <c r="L896" s="7" t="s">
        <v>428</v>
      </c>
      <c r="M896" s="7">
        <v>15</v>
      </c>
      <c r="N896" s="7">
        <v>15</v>
      </c>
      <c r="O896" s="7" t="s">
        <v>42</v>
      </c>
      <c r="P896" s="7" t="s">
        <v>341</v>
      </c>
      <c r="Q896" s="7">
        <v>0</v>
      </c>
      <c r="R896" s="7">
        <v>0</v>
      </c>
      <c r="S896" s="7">
        <v>0</v>
      </c>
      <c r="T896" s="7">
        <v>0</v>
      </c>
      <c r="U896" s="7">
        <v>3</v>
      </c>
      <c r="V896" s="7" t="s">
        <v>3188</v>
      </c>
      <c r="W896" s="7">
        <v>0</v>
      </c>
      <c r="X896" s="7">
        <v>3</v>
      </c>
      <c r="Y896" s="7">
        <v>2</v>
      </c>
      <c r="Z896" s="7">
        <v>2</v>
      </c>
      <c r="AA896" s="7">
        <v>4</v>
      </c>
      <c r="AB896" s="7">
        <v>4</v>
      </c>
      <c r="AC896" s="7" t="s">
        <v>0</v>
      </c>
      <c r="AD896" s="7">
        <v>2</v>
      </c>
      <c r="AE896" s="7" t="s">
        <v>45</v>
      </c>
    </row>
    <row r="897" spans="1:31" ht="114.75" x14ac:dyDescent="0.2">
      <c r="A897" s="8" t="str">
        <f>HYPERLINK("http://www.patentics.cn/invokexml.do?sx=showpatent_cn&amp;sf=ShowPatent&amp;spn=US8489124&amp;sx=showpatent_cn&amp;sv=872c359382b2ebb26b1d10fe809453a9","US8489124")</f>
        <v>US8489124</v>
      </c>
      <c r="B897" s="9" t="s">
        <v>4490</v>
      </c>
      <c r="C897" s="9" t="s">
        <v>4491</v>
      </c>
      <c r="D897" s="9" t="s">
        <v>117</v>
      </c>
      <c r="E897" s="9" t="s">
        <v>49</v>
      </c>
      <c r="F897" s="9" t="s">
        <v>4492</v>
      </c>
      <c r="G897" s="9" t="s">
        <v>4493</v>
      </c>
      <c r="H897" s="9" t="s">
        <v>4494</v>
      </c>
      <c r="I897" s="9" t="s">
        <v>4495</v>
      </c>
      <c r="J897" s="9" t="s">
        <v>539</v>
      </c>
      <c r="K897" s="9" t="s">
        <v>55</v>
      </c>
      <c r="L897" s="9" t="s">
        <v>947</v>
      </c>
      <c r="M897" s="9">
        <v>34</v>
      </c>
      <c r="N897" s="9">
        <v>8</v>
      </c>
      <c r="O897" s="9" t="s">
        <v>57</v>
      </c>
      <c r="P897" s="9" t="s">
        <v>58</v>
      </c>
      <c r="Q897" s="9">
        <v>69</v>
      </c>
      <c r="R897" s="9">
        <v>15</v>
      </c>
      <c r="S897" s="9">
        <v>54</v>
      </c>
      <c r="T897" s="9">
        <v>32</v>
      </c>
      <c r="U897" s="9">
        <v>28</v>
      </c>
      <c r="V897" s="9" t="s">
        <v>4496</v>
      </c>
      <c r="W897" s="9">
        <v>2</v>
      </c>
      <c r="X897" s="9">
        <v>26</v>
      </c>
      <c r="Y897" s="9">
        <v>4</v>
      </c>
      <c r="Z897" s="9">
        <v>2</v>
      </c>
      <c r="AA897" s="9">
        <v>24</v>
      </c>
      <c r="AB897" s="9">
        <v>11</v>
      </c>
      <c r="AC897" s="9">
        <v>14</v>
      </c>
      <c r="AD897" s="9" t="s">
        <v>0</v>
      </c>
      <c r="AE897" s="9" t="s">
        <v>60</v>
      </c>
    </row>
    <row r="898" spans="1:31" ht="114.75" x14ac:dyDescent="0.2">
      <c r="A898" s="8" t="str">
        <f>HYPERLINK("http://www.patentics.cn/invokexml.do?sx=showpatent_cn&amp;sf=ShowPatent&amp;spn=US9008700&amp;sx=showpatent_cn&amp;sv=c92f14947ec332af791e4196dee8b2f2","US9008700")</f>
        <v>US9008700</v>
      </c>
      <c r="B898" s="9" t="s">
        <v>4497</v>
      </c>
      <c r="C898" s="9" t="s">
        <v>4491</v>
      </c>
      <c r="D898" s="9" t="s">
        <v>117</v>
      </c>
      <c r="E898" s="9" t="s">
        <v>49</v>
      </c>
      <c r="F898" s="9" t="s">
        <v>4492</v>
      </c>
      <c r="G898" s="9" t="s">
        <v>4493</v>
      </c>
      <c r="H898" s="9" t="s">
        <v>4494</v>
      </c>
      <c r="I898" s="9" t="s">
        <v>691</v>
      </c>
      <c r="J898" s="9" t="s">
        <v>2075</v>
      </c>
      <c r="K898" s="9" t="s">
        <v>55</v>
      </c>
      <c r="L898" s="9" t="s">
        <v>947</v>
      </c>
      <c r="M898" s="9">
        <v>40</v>
      </c>
      <c r="N898" s="9">
        <v>9</v>
      </c>
      <c r="O898" s="9" t="s">
        <v>57</v>
      </c>
      <c r="P898" s="9" t="s">
        <v>58</v>
      </c>
      <c r="Q898" s="9">
        <v>69</v>
      </c>
      <c r="R898" s="9">
        <v>13</v>
      </c>
      <c r="S898" s="9">
        <v>56</v>
      </c>
      <c r="T898" s="9">
        <v>33</v>
      </c>
      <c r="U898" s="9">
        <v>11</v>
      </c>
      <c r="V898" s="9" t="s">
        <v>114</v>
      </c>
      <c r="W898" s="9">
        <v>0</v>
      </c>
      <c r="X898" s="9">
        <v>11</v>
      </c>
      <c r="Y898" s="9">
        <v>0</v>
      </c>
      <c r="Z898" s="9">
        <v>1</v>
      </c>
      <c r="AA898" s="9">
        <v>24</v>
      </c>
      <c r="AB898" s="9">
        <v>11</v>
      </c>
      <c r="AC898" s="9">
        <v>14</v>
      </c>
      <c r="AD898" s="9" t="s">
        <v>0</v>
      </c>
      <c r="AE898" s="9" t="s">
        <v>60</v>
      </c>
    </row>
    <row r="899" spans="1:31" ht="25.5" x14ac:dyDescent="0.2">
      <c r="A899" s="6" t="str">
        <f>HYPERLINK("http://www.patentics.cn/invokexml.do?sx=showpatent_cn&amp;sf=ShowPatent&amp;spn=CN1668023&amp;sx=showpatent_cn&amp;sv=a19af2b771139bccc9ba264c77ce7025","CN1668023")</f>
        <v>CN1668023</v>
      </c>
      <c r="B899" s="7" t="s">
        <v>4498</v>
      </c>
      <c r="C899" s="7" t="s">
        <v>4499</v>
      </c>
      <c r="D899" s="7" t="s">
        <v>923</v>
      </c>
      <c r="E899" s="7" t="s">
        <v>923</v>
      </c>
      <c r="F899" s="7" t="s">
        <v>4500</v>
      </c>
      <c r="G899" s="7" t="s">
        <v>4501</v>
      </c>
      <c r="H899" s="7" t="s">
        <v>0</v>
      </c>
      <c r="I899" s="7" t="s">
        <v>4502</v>
      </c>
      <c r="J899" s="7" t="s">
        <v>4503</v>
      </c>
      <c r="K899" s="7" t="s">
        <v>68</v>
      </c>
      <c r="L899" s="7" t="s">
        <v>4504</v>
      </c>
      <c r="M899" s="7">
        <v>10</v>
      </c>
      <c r="N899" s="7">
        <v>16</v>
      </c>
      <c r="O899" s="7" t="s">
        <v>42</v>
      </c>
      <c r="P899" s="7" t="s">
        <v>43</v>
      </c>
      <c r="Q899" s="7">
        <v>0</v>
      </c>
      <c r="R899" s="7">
        <v>0</v>
      </c>
      <c r="S899" s="7">
        <v>0</v>
      </c>
      <c r="T899" s="7">
        <v>0</v>
      </c>
      <c r="U899" s="7">
        <v>7</v>
      </c>
      <c r="V899" s="7" t="s">
        <v>3722</v>
      </c>
      <c r="W899" s="7">
        <v>0</v>
      </c>
      <c r="X899" s="7">
        <v>7</v>
      </c>
      <c r="Y899" s="7">
        <v>6</v>
      </c>
      <c r="Z899" s="7">
        <v>2</v>
      </c>
      <c r="AA899" s="7">
        <v>0</v>
      </c>
      <c r="AB899" s="7">
        <v>0</v>
      </c>
      <c r="AC899" s="7" t="s">
        <v>0</v>
      </c>
      <c r="AD899" s="7">
        <v>2</v>
      </c>
      <c r="AE899" s="7" t="s">
        <v>1390</v>
      </c>
    </row>
    <row r="900" spans="1:31" ht="63.75" x14ac:dyDescent="0.2">
      <c r="A900" s="8" t="str">
        <f>HYPERLINK("http://www.patentics.cn/invokexml.do?sx=showpatent_cn&amp;sf=ShowPatent&amp;spn=CN102742244B&amp;sx=showpatent_cn&amp;sv=1b7c831b747f3bd6167e6d0044d9041d","CN102742244B")</f>
        <v>CN102742244B</v>
      </c>
      <c r="B900" s="9" t="s">
        <v>4505</v>
      </c>
      <c r="C900" s="9" t="s">
        <v>4506</v>
      </c>
      <c r="D900" s="9" t="s">
        <v>301</v>
      </c>
      <c r="E900" s="9" t="s">
        <v>301</v>
      </c>
      <c r="F900" s="9" t="s">
        <v>4507</v>
      </c>
      <c r="G900" s="9" t="s">
        <v>1568</v>
      </c>
      <c r="H900" s="9" t="s">
        <v>4508</v>
      </c>
      <c r="I900" s="9" t="s">
        <v>4509</v>
      </c>
      <c r="J900" s="9" t="s">
        <v>2746</v>
      </c>
      <c r="K900" s="9" t="s">
        <v>68</v>
      </c>
      <c r="L900" s="9" t="s">
        <v>2336</v>
      </c>
      <c r="M900" s="9">
        <v>67</v>
      </c>
      <c r="N900" s="9">
        <v>16</v>
      </c>
      <c r="O900" s="9" t="s">
        <v>57</v>
      </c>
      <c r="P900" s="9" t="s">
        <v>58</v>
      </c>
      <c r="Q900" s="9">
        <v>6</v>
      </c>
      <c r="R900" s="9">
        <v>0</v>
      </c>
      <c r="S900" s="9">
        <v>6</v>
      </c>
      <c r="T900" s="9">
        <v>5</v>
      </c>
      <c r="U900" s="9">
        <v>0</v>
      </c>
      <c r="V900" s="9" t="s">
        <v>114</v>
      </c>
      <c r="W900" s="9">
        <v>0</v>
      </c>
      <c r="X900" s="9">
        <v>0</v>
      </c>
      <c r="Y900" s="9">
        <v>0</v>
      </c>
      <c r="Z900" s="9">
        <v>0</v>
      </c>
      <c r="AA900" s="9">
        <v>0</v>
      </c>
      <c r="AB900" s="9">
        <v>0</v>
      </c>
      <c r="AC900" s="9">
        <v>14</v>
      </c>
      <c r="AD900" s="9" t="s">
        <v>0</v>
      </c>
      <c r="AE900" s="9" t="s">
        <v>60</v>
      </c>
    </row>
    <row r="901" spans="1:31" ht="63.75" x14ac:dyDescent="0.2">
      <c r="A901" s="8" t="str">
        <f>HYPERLINK("http://www.patentics.cn/invokexml.do?sx=showpatent_cn&amp;sf=ShowPatent&amp;spn=CN102742244&amp;sx=showpatent_cn&amp;sv=00a6f5e40bf62a232ffa7eedf7b6eed3","CN102742244")</f>
        <v>CN102742244</v>
      </c>
      <c r="B901" s="9" t="s">
        <v>4505</v>
      </c>
      <c r="C901" s="9" t="s">
        <v>4510</v>
      </c>
      <c r="D901" s="9" t="s">
        <v>301</v>
      </c>
      <c r="E901" s="9" t="s">
        <v>301</v>
      </c>
      <c r="F901" s="9" t="s">
        <v>4507</v>
      </c>
      <c r="G901" s="9" t="s">
        <v>1568</v>
      </c>
      <c r="H901" s="9" t="s">
        <v>4508</v>
      </c>
      <c r="I901" s="9" t="s">
        <v>4509</v>
      </c>
      <c r="J901" s="9" t="s">
        <v>3251</v>
      </c>
      <c r="K901" s="9" t="s">
        <v>68</v>
      </c>
      <c r="L901" s="9" t="s">
        <v>2336</v>
      </c>
      <c r="M901" s="9">
        <v>99</v>
      </c>
      <c r="N901" s="9">
        <v>10</v>
      </c>
      <c r="O901" s="9" t="s">
        <v>42</v>
      </c>
      <c r="P901" s="9" t="s">
        <v>58</v>
      </c>
      <c r="Q901" s="9">
        <v>6</v>
      </c>
      <c r="R901" s="9">
        <v>0</v>
      </c>
      <c r="S901" s="9">
        <v>6</v>
      </c>
      <c r="T901" s="9">
        <v>5</v>
      </c>
      <c r="U901" s="9">
        <v>0</v>
      </c>
      <c r="V901" s="9" t="s">
        <v>114</v>
      </c>
      <c r="W901" s="9">
        <v>0</v>
      </c>
      <c r="X901" s="9">
        <v>0</v>
      </c>
      <c r="Y901" s="9">
        <v>0</v>
      </c>
      <c r="Z901" s="9">
        <v>0</v>
      </c>
      <c r="AA901" s="9">
        <v>8</v>
      </c>
      <c r="AB901" s="9">
        <v>7</v>
      </c>
      <c r="AC901" s="9">
        <v>14</v>
      </c>
      <c r="AD901" s="9" t="s">
        <v>0</v>
      </c>
      <c r="AE901" s="9" t="s">
        <v>60</v>
      </c>
    </row>
    <row r="902" spans="1:31" ht="25.5" x14ac:dyDescent="0.2">
      <c r="A902" s="6" t="str">
        <f>HYPERLINK("http://www.patentics.cn/invokexml.do?sx=showpatent_cn&amp;sf=ShowPatent&amp;spn=CN1652610&amp;sx=showpatent_cn&amp;sv=33d792228cf8398b65f8031163cbb884","CN1652610")</f>
        <v>CN1652610</v>
      </c>
      <c r="B902" s="7" t="s">
        <v>4511</v>
      </c>
      <c r="C902" s="7" t="s">
        <v>4512</v>
      </c>
      <c r="D902" s="7" t="s">
        <v>923</v>
      </c>
      <c r="E902" s="7" t="s">
        <v>923</v>
      </c>
      <c r="F902" s="7" t="s">
        <v>4513</v>
      </c>
      <c r="G902" s="7" t="s">
        <v>4403</v>
      </c>
      <c r="H902" s="7" t="s">
        <v>4514</v>
      </c>
      <c r="I902" s="7" t="s">
        <v>4514</v>
      </c>
      <c r="J902" s="7" t="s">
        <v>4515</v>
      </c>
      <c r="K902" s="7" t="s">
        <v>714</v>
      </c>
      <c r="L902" s="7" t="s">
        <v>4516</v>
      </c>
      <c r="M902" s="7">
        <v>10</v>
      </c>
      <c r="N902" s="7">
        <v>12</v>
      </c>
      <c r="O902" s="7" t="s">
        <v>42</v>
      </c>
      <c r="P902" s="7" t="s">
        <v>43</v>
      </c>
      <c r="Q902" s="7">
        <v>0</v>
      </c>
      <c r="R902" s="7">
        <v>0</v>
      </c>
      <c r="S902" s="7">
        <v>0</v>
      </c>
      <c r="T902" s="7">
        <v>0</v>
      </c>
      <c r="U902" s="7">
        <v>21</v>
      </c>
      <c r="V902" s="7" t="s">
        <v>4517</v>
      </c>
      <c r="W902" s="7">
        <v>0</v>
      </c>
      <c r="X902" s="7">
        <v>21</v>
      </c>
      <c r="Y902" s="7">
        <v>11</v>
      </c>
      <c r="Z902" s="7">
        <v>2</v>
      </c>
      <c r="AA902" s="7">
        <v>1</v>
      </c>
      <c r="AB902" s="7">
        <v>1</v>
      </c>
      <c r="AC902" s="7" t="s">
        <v>0</v>
      </c>
      <c r="AD902" s="7">
        <v>2</v>
      </c>
      <c r="AE902" s="7" t="s">
        <v>60</v>
      </c>
    </row>
    <row r="903" spans="1:31" ht="38.25" x14ac:dyDescent="0.2">
      <c r="A903" s="8" t="str">
        <f>HYPERLINK("http://www.patentics.cn/invokexml.do?sx=showpatent_cn&amp;sf=ShowPatent&amp;spn=CN101326831B&amp;sx=showpatent_cn&amp;sv=342eb8ca7fc9ed401a4b8bd1b980c540","CN101326831B")</f>
        <v>CN101326831B</v>
      </c>
      <c r="B903" s="9" t="s">
        <v>4518</v>
      </c>
      <c r="C903" s="9" t="s">
        <v>4519</v>
      </c>
      <c r="D903" s="9" t="s">
        <v>301</v>
      </c>
      <c r="E903" s="9" t="s">
        <v>301</v>
      </c>
      <c r="F903" s="9" t="s">
        <v>4520</v>
      </c>
      <c r="G903" s="9" t="s">
        <v>4521</v>
      </c>
      <c r="H903" s="9" t="s">
        <v>4522</v>
      </c>
      <c r="I903" s="9" t="s">
        <v>4523</v>
      </c>
      <c r="J903" s="9" t="s">
        <v>1870</v>
      </c>
      <c r="K903" s="9" t="s">
        <v>714</v>
      </c>
      <c r="L903" s="9" t="s">
        <v>1346</v>
      </c>
      <c r="M903" s="9">
        <v>21</v>
      </c>
      <c r="N903" s="9">
        <v>18</v>
      </c>
      <c r="O903" s="9" t="s">
        <v>57</v>
      </c>
      <c r="P903" s="9" t="s">
        <v>58</v>
      </c>
      <c r="Q903" s="9">
        <v>1</v>
      </c>
      <c r="R903" s="9">
        <v>0</v>
      </c>
      <c r="S903" s="9">
        <v>1</v>
      </c>
      <c r="T903" s="9">
        <v>1</v>
      </c>
      <c r="U903" s="9">
        <v>0</v>
      </c>
      <c r="V903" s="9" t="s">
        <v>114</v>
      </c>
      <c r="W903" s="9">
        <v>0</v>
      </c>
      <c r="X903" s="9">
        <v>0</v>
      </c>
      <c r="Y903" s="9">
        <v>0</v>
      </c>
      <c r="Z903" s="9">
        <v>0</v>
      </c>
      <c r="AA903" s="9">
        <v>11</v>
      </c>
      <c r="AB903" s="9">
        <v>7</v>
      </c>
      <c r="AC903" s="9">
        <v>14</v>
      </c>
      <c r="AD903" s="9" t="s">
        <v>0</v>
      </c>
      <c r="AE903" s="9" t="s">
        <v>60</v>
      </c>
    </row>
    <row r="904" spans="1:31" ht="76.5" x14ac:dyDescent="0.2">
      <c r="A904" s="8" t="str">
        <f>HYPERLINK("http://www.patentics.cn/invokexml.do?sx=showpatent_cn&amp;sf=ShowPatent&amp;spn=CN103999469B&amp;sx=showpatent_cn&amp;sv=66cf93fbed666325cf543eb36fb27851","CN103999469B")</f>
        <v>CN103999469B</v>
      </c>
      <c r="B904" s="9" t="s">
        <v>4524</v>
      </c>
      <c r="C904" s="9" t="s">
        <v>4525</v>
      </c>
      <c r="D904" s="9" t="s">
        <v>301</v>
      </c>
      <c r="E904" s="9" t="s">
        <v>301</v>
      </c>
      <c r="F904" s="9" t="s">
        <v>4526</v>
      </c>
      <c r="G904" s="9" t="s">
        <v>4527</v>
      </c>
      <c r="H904" s="9" t="s">
        <v>4528</v>
      </c>
      <c r="I904" s="9" t="s">
        <v>3426</v>
      </c>
      <c r="J904" s="9" t="s">
        <v>1450</v>
      </c>
      <c r="K904" s="9" t="s">
        <v>714</v>
      </c>
      <c r="L904" s="9" t="s">
        <v>4529</v>
      </c>
      <c r="M904" s="9">
        <v>79</v>
      </c>
      <c r="N904" s="9">
        <v>27</v>
      </c>
      <c r="O904" s="9" t="s">
        <v>57</v>
      </c>
      <c r="P904" s="9" t="s">
        <v>58</v>
      </c>
      <c r="Q904" s="9">
        <v>3</v>
      </c>
      <c r="R904" s="9">
        <v>0</v>
      </c>
      <c r="S904" s="9">
        <v>3</v>
      </c>
      <c r="T904" s="9">
        <v>3</v>
      </c>
      <c r="U904" s="9">
        <v>0</v>
      </c>
      <c r="V904" s="9" t="s">
        <v>114</v>
      </c>
      <c r="W904" s="9">
        <v>0</v>
      </c>
      <c r="X904" s="9">
        <v>0</v>
      </c>
      <c r="Y904" s="9">
        <v>0</v>
      </c>
      <c r="Z904" s="9">
        <v>0</v>
      </c>
      <c r="AA904" s="9">
        <v>0</v>
      </c>
      <c r="AB904" s="9">
        <v>0</v>
      </c>
      <c r="AC904" s="9">
        <v>14</v>
      </c>
      <c r="AD904" s="9" t="s">
        <v>0</v>
      </c>
      <c r="AE904" s="9" t="s">
        <v>60</v>
      </c>
    </row>
    <row r="905" spans="1:31" ht="38.25" x14ac:dyDescent="0.2">
      <c r="A905" s="6" t="str">
        <f>HYPERLINK("http://www.patentics.cn/invokexml.do?sx=showpatent_cn&amp;sf=ShowPatent&amp;spn=CN1622524&amp;sx=showpatent_cn&amp;sv=42336bdb7dfc5426442e0cff45075a06","CN1622524")</f>
        <v>CN1622524</v>
      </c>
      <c r="B905" s="7" t="s">
        <v>4530</v>
      </c>
      <c r="C905" s="7" t="s">
        <v>4531</v>
      </c>
      <c r="D905" s="7" t="s">
        <v>1097</v>
      </c>
      <c r="E905" s="7" t="s">
        <v>1097</v>
      </c>
      <c r="F905" s="7" t="s">
        <v>4532</v>
      </c>
      <c r="G905" s="7" t="s">
        <v>4533</v>
      </c>
      <c r="H905" s="7" t="s">
        <v>4534</v>
      </c>
      <c r="I905" s="7" t="s">
        <v>4534</v>
      </c>
      <c r="J905" s="7" t="s">
        <v>65</v>
      </c>
      <c r="K905" s="7" t="s">
        <v>68</v>
      </c>
      <c r="L905" s="7" t="s">
        <v>2448</v>
      </c>
      <c r="M905" s="7">
        <v>9</v>
      </c>
      <c r="N905" s="7">
        <v>22</v>
      </c>
      <c r="O905" s="7" t="s">
        <v>42</v>
      </c>
      <c r="P905" s="7" t="s">
        <v>43</v>
      </c>
      <c r="Q905" s="7">
        <v>0</v>
      </c>
      <c r="R905" s="7">
        <v>0</v>
      </c>
      <c r="S905" s="7">
        <v>0</v>
      </c>
      <c r="T905" s="7">
        <v>0</v>
      </c>
      <c r="U905" s="7">
        <v>7</v>
      </c>
      <c r="V905" s="7" t="s">
        <v>4535</v>
      </c>
      <c r="W905" s="7">
        <v>0</v>
      </c>
      <c r="X905" s="7">
        <v>7</v>
      </c>
      <c r="Y905" s="7">
        <v>4</v>
      </c>
      <c r="Z905" s="7">
        <v>3</v>
      </c>
      <c r="AA905" s="7">
        <v>1</v>
      </c>
      <c r="AB905" s="7">
        <v>1</v>
      </c>
      <c r="AC905" s="7" t="s">
        <v>0</v>
      </c>
      <c r="AD905" s="7">
        <v>2</v>
      </c>
      <c r="AE905" s="7" t="s">
        <v>532</v>
      </c>
    </row>
    <row r="906" spans="1:31" ht="63.75" x14ac:dyDescent="0.2">
      <c r="A906" s="8" t="str">
        <f>HYPERLINK("http://www.patentics.cn/invokexml.do?sx=showpatent_cn&amp;sf=ShowPatent&amp;spn=US8867486&amp;sx=showpatent_cn&amp;sv=c2d923c0c48d9fb14e2ba555dcda3b33","US8867486")</f>
        <v>US8867486</v>
      </c>
      <c r="B906" s="9" t="s">
        <v>4536</v>
      </c>
      <c r="C906" s="9" t="s">
        <v>4537</v>
      </c>
      <c r="D906" s="9" t="s">
        <v>48</v>
      </c>
      <c r="E906" s="9" t="s">
        <v>49</v>
      </c>
      <c r="F906" s="9" t="s">
        <v>4538</v>
      </c>
      <c r="G906" s="9" t="s">
        <v>4539</v>
      </c>
      <c r="H906" s="9" t="s">
        <v>4540</v>
      </c>
      <c r="I906" s="9" t="s">
        <v>1748</v>
      </c>
      <c r="J906" s="9" t="s">
        <v>1021</v>
      </c>
      <c r="K906" s="9" t="s">
        <v>55</v>
      </c>
      <c r="L906" s="9" t="s">
        <v>4541</v>
      </c>
      <c r="M906" s="9">
        <v>28</v>
      </c>
      <c r="N906" s="9">
        <v>15</v>
      </c>
      <c r="O906" s="9" t="s">
        <v>57</v>
      </c>
      <c r="P906" s="9" t="s">
        <v>58</v>
      </c>
      <c r="Q906" s="9">
        <v>11</v>
      </c>
      <c r="R906" s="9">
        <v>0</v>
      </c>
      <c r="S906" s="9">
        <v>11</v>
      </c>
      <c r="T906" s="9">
        <v>8</v>
      </c>
      <c r="U906" s="9">
        <v>1</v>
      </c>
      <c r="V906" s="9" t="s">
        <v>70</v>
      </c>
      <c r="W906" s="9">
        <v>0</v>
      </c>
      <c r="X906" s="9">
        <v>1</v>
      </c>
      <c r="Y906" s="9">
        <v>1</v>
      </c>
      <c r="Z906" s="9">
        <v>1</v>
      </c>
      <c r="AA906" s="9">
        <v>8</v>
      </c>
      <c r="AB906" s="9">
        <v>6</v>
      </c>
      <c r="AC906" s="9">
        <v>14</v>
      </c>
      <c r="AD906" s="9" t="s">
        <v>0</v>
      </c>
      <c r="AE906" s="9" t="s">
        <v>60</v>
      </c>
    </row>
    <row r="907" spans="1:31" ht="38.25" x14ac:dyDescent="0.2">
      <c r="A907" s="8" t="str">
        <f>HYPERLINK("http://www.patentics.cn/invokexml.do?sx=showpatent_cn&amp;sf=ShowPatent&amp;spn=CN102450053&amp;sx=showpatent_cn&amp;sv=0934590248ccb4f817a9a40ec1860cb5","CN102450053")</f>
        <v>CN102450053</v>
      </c>
      <c r="B907" s="9" t="s">
        <v>4542</v>
      </c>
      <c r="C907" s="9" t="s">
        <v>4543</v>
      </c>
      <c r="D907" s="9" t="s">
        <v>301</v>
      </c>
      <c r="E907" s="9" t="s">
        <v>301</v>
      </c>
      <c r="F907" s="9" t="s">
        <v>4544</v>
      </c>
      <c r="G907" s="9" t="s">
        <v>4545</v>
      </c>
      <c r="H907" s="9" t="s">
        <v>4540</v>
      </c>
      <c r="I907" s="9" t="s">
        <v>4546</v>
      </c>
      <c r="J907" s="9" t="s">
        <v>2650</v>
      </c>
      <c r="K907" s="9" t="s">
        <v>55</v>
      </c>
      <c r="L907" s="9" t="s">
        <v>3141</v>
      </c>
      <c r="M907" s="9">
        <v>22</v>
      </c>
      <c r="N907" s="9">
        <v>17</v>
      </c>
      <c r="O907" s="9" t="s">
        <v>42</v>
      </c>
      <c r="P907" s="9" t="s">
        <v>58</v>
      </c>
      <c r="Q907" s="9">
        <v>4</v>
      </c>
      <c r="R907" s="9">
        <v>0</v>
      </c>
      <c r="S907" s="9">
        <v>4</v>
      </c>
      <c r="T907" s="9">
        <v>3</v>
      </c>
      <c r="U907" s="9">
        <v>3</v>
      </c>
      <c r="V907" s="9" t="s">
        <v>4547</v>
      </c>
      <c r="W907" s="9">
        <v>0</v>
      </c>
      <c r="X907" s="9">
        <v>3</v>
      </c>
      <c r="Y907" s="9">
        <v>2</v>
      </c>
      <c r="Z907" s="9">
        <v>2</v>
      </c>
      <c r="AA907" s="9">
        <v>8</v>
      </c>
      <c r="AB907" s="9">
        <v>6</v>
      </c>
      <c r="AC907" s="9">
        <v>14</v>
      </c>
      <c r="AD907" s="9" t="s">
        <v>0</v>
      </c>
      <c r="AE907" s="9" t="s">
        <v>60</v>
      </c>
    </row>
    <row r="908" spans="1:31" ht="25.5" x14ac:dyDescent="0.2">
      <c r="A908" s="6" t="str">
        <f>HYPERLINK("http://www.patentics.cn/invokexml.do?sx=showpatent_cn&amp;sf=ShowPatent&amp;spn=CN1614883&amp;sx=showpatent_cn&amp;sv=758cfa2e76d9e2ff7bb819298ab3598c","CN1614883")</f>
        <v>CN1614883</v>
      </c>
      <c r="B908" s="7" t="s">
        <v>4548</v>
      </c>
      <c r="C908" s="7" t="s">
        <v>4549</v>
      </c>
      <c r="D908" s="7" t="s">
        <v>1341</v>
      </c>
      <c r="E908" s="7" t="s">
        <v>1341</v>
      </c>
      <c r="F908" s="7" t="s">
        <v>4550</v>
      </c>
      <c r="G908" s="7" t="s">
        <v>4551</v>
      </c>
      <c r="H908" s="7" t="s">
        <v>4552</v>
      </c>
      <c r="I908" s="7" t="s">
        <v>4552</v>
      </c>
      <c r="J908" s="7" t="s">
        <v>4553</v>
      </c>
      <c r="K908" s="7" t="s">
        <v>4554</v>
      </c>
      <c r="L908" s="7" t="s">
        <v>4555</v>
      </c>
      <c r="M908" s="7">
        <v>5</v>
      </c>
      <c r="N908" s="7">
        <v>46</v>
      </c>
      <c r="O908" s="7" t="s">
        <v>42</v>
      </c>
      <c r="P908" s="7" t="s">
        <v>43</v>
      </c>
      <c r="Q908" s="7">
        <v>1</v>
      </c>
      <c r="R908" s="7">
        <v>0</v>
      </c>
      <c r="S908" s="7">
        <v>1</v>
      </c>
      <c r="T908" s="7">
        <v>1</v>
      </c>
      <c r="U908" s="7">
        <v>22</v>
      </c>
      <c r="V908" s="7" t="s">
        <v>4556</v>
      </c>
      <c r="W908" s="7">
        <v>0</v>
      </c>
      <c r="X908" s="7">
        <v>22</v>
      </c>
      <c r="Y908" s="7">
        <v>17</v>
      </c>
      <c r="Z908" s="7">
        <v>3</v>
      </c>
      <c r="AA908" s="7">
        <v>1</v>
      </c>
      <c r="AB908" s="7">
        <v>1</v>
      </c>
      <c r="AC908" s="7" t="s">
        <v>0</v>
      </c>
      <c r="AD908" s="7">
        <v>2</v>
      </c>
      <c r="AE908" s="7" t="s">
        <v>532</v>
      </c>
    </row>
    <row r="909" spans="1:31" ht="76.5" x14ac:dyDescent="0.2">
      <c r="A909" s="8" t="str">
        <f>HYPERLINK("http://www.patentics.cn/invokexml.do?sx=showpatent_cn&amp;sf=ShowPatent&amp;spn=US8483639&amp;sx=showpatent_cn&amp;sv=f6c571be9f6ffbbbfd7b13b9a4a726fa","US8483639")</f>
        <v>US8483639</v>
      </c>
      <c r="B909" s="9" t="s">
        <v>4557</v>
      </c>
      <c r="C909" s="9" t="s">
        <v>4558</v>
      </c>
      <c r="D909" s="9" t="s">
        <v>48</v>
      </c>
      <c r="E909" s="9" t="s">
        <v>49</v>
      </c>
      <c r="F909" s="9" t="s">
        <v>4559</v>
      </c>
      <c r="G909" s="9" t="s">
        <v>4560</v>
      </c>
      <c r="H909" s="9" t="s">
        <v>4561</v>
      </c>
      <c r="I909" s="9" t="s">
        <v>4561</v>
      </c>
      <c r="J909" s="9" t="s">
        <v>1331</v>
      </c>
      <c r="K909" s="9" t="s">
        <v>89</v>
      </c>
      <c r="L909" s="9" t="s">
        <v>473</v>
      </c>
      <c r="M909" s="9">
        <v>32</v>
      </c>
      <c r="N909" s="9">
        <v>10</v>
      </c>
      <c r="O909" s="9" t="s">
        <v>57</v>
      </c>
      <c r="P909" s="9" t="s">
        <v>58</v>
      </c>
      <c r="Q909" s="9">
        <v>155</v>
      </c>
      <c r="R909" s="9">
        <v>1</v>
      </c>
      <c r="S909" s="9">
        <v>154</v>
      </c>
      <c r="T909" s="9">
        <v>14</v>
      </c>
      <c r="U909" s="9">
        <v>1</v>
      </c>
      <c r="V909" s="9" t="s">
        <v>515</v>
      </c>
      <c r="W909" s="9">
        <v>0</v>
      </c>
      <c r="X909" s="9">
        <v>1</v>
      </c>
      <c r="Y909" s="9">
        <v>1</v>
      </c>
      <c r="Z909" s="9">
        <v>1</v>
      </c>
      <c r="AA909" s="9">
        <v>11</v>
      </c>
      <c r="AB909" s="9">
        <v>7</v>
      </c>
      <c r="AC909" s="9">
        <v>14</v>
      </c>
      <c r="AD909" s="9" t="s">
        <v>0</v>
      </c>
      <c r="AE909" s="9" t="s">
        <v>60</v>
      </c>
    </row>
    <row r="910" spans="1:31" ht="63.75" x14ac:dyDescent="0.2">
      <c r="A910" s="8" t="str">
        <f>HYPERLINK("http://www.patentics.cn/invokexml.do?sx=showpatent_cn&amp;sf=ShowPatent&amp;spn=CN102017403B&amp;sx=showpatent_cn&amp;sv=1fed4f2b339952258b30c64a888656ef","CN102017403B")</f>
        <v>CN102017403B</v>
      </c>
      <c r="B910" s="9" t="s">
        <v>4562</v>
      </c>
      <c r="C910" s="9" t="s">
        <v>4563</v>
      </c>
      <c r="D910" s="9" t="s">
        <v>301</v>
      </c>
      <c r="E910" s="9" t="s">
        <v>301</v>
      </c>
      <c r="F910" s="9" t="s">
        <v>4564</v>
      </c>
      <c r="G910" s="9" t="s">
        <v>4565</v>
      </c>
      <c r="H910" s="9" t="s">
        <v>4561</v>
      </c>
      <c r="I910" s="9" t="s">
        <v>4566</v>
      </c>
      <c r="J910" s="9" t="s">
        <v>4567</v>
      </c>
      <c r="K910" s="9" t="s">
        <v>4554</v>
      </c>
      <c r="L910" s="9" t="s">
        <v>4555</v>
      </c>
      <c r="M910" s="9">
        <v>28</v>
      </c>
      <c r="N910" s="9">
        <v>11</v>
      </c>
      <c r="O910" s="9" t="s">
        <v>57</v>
      </c>
      <c r="P910" s="9" t="s">
        <v>58</v>
      </c>
      <c r="Q910" s="9">
        <v>3</v>
      </c>
      <c r="R910" s="9">
        <v>0</v>
      </c>
      <c r="S910" s="9">
        <v>3</v>
      </c>
      <c r="T910" s="9">
        <v>3</v>
      </c>
      <c r="U910" s="9">
        <v>0</v>
      </c>
      <c r="V910" s="9" t="s">
        <v>114</v>
      </c>
      <c r="W910" s="9">
        <v>0</v>
      </c>
      <c r="X910" s="9">
        <v>0</v>
      </c>
      <c r="Y910" s="9">
        <v>0</v>
      </c>
      <c r="Z910" s="9">
        <v>0</v>
      </c>
      <c r="AA910" s="9">
        <v>11</v>
      </c>
      <c r="AB910" s="9">
        <v>7</v>
      </c>
      <c r="AC910" s="9">
        <v>14</v>
      </c>
      <c r="AD910" s="9" t="s">
        <v>0</v>
      </c>
      <c r="AE910" s="9" t="s">
        <v>60</v>
      </c>
    </row>
    <row r="911" spans="1:31" ht="38.25" x14ac:dyDescent="0.2">
      <c r="A911" s="6" t="str">
        <f>HYPERLINK("http://www.patentics.cn/invokexml.do?sx=showpatent_cn&amp;sf=ShowPatent&amp;spn=CN1599364&amp;sx=showpatent_cn&amp;sv=be12ef1c768cf48f6937fc96ecce2b62","CN1599364")</f>
        <v>CN1599364</v>
      </c>
      <c r="B911" s="7" t="s">
        <v>4568</v>
      </c>
      <c r="C911" s="7" t="s">
        <v>4569</v>
      </c>
      <c r="D911" s="7" t="s">
        <v>1420</v>
      </c>
      <c r="E911" s="7" t="s">
        <v>1420</v>
      </c>
      <c r="F911" s="7" t="s">
        <v>4570</v>
      </c>
      <c r="G911" s="7" t="s">
        <v>4571</v>
      </c>
      <c r="H911" s="7" t="s">
        <v>4572</v>
      </c>
      <c r="I911" s="7" t="s">
        <v>4572</v>
      </c>
      <c r="J911" s="7" t="s">
        <v>4573</v>
      </c>
      <c r="K911" s="7" t="s">
        <v>68</v>
      </c>
      <c r="L911" s="7" t="s">
        <v>4574</v>
      </c>
      <c r="M911" s="7">
        <v>4</v>
      </c>
      <c r="N911" s="7">
        <v>38</v>
      </c>
      <c r="O911" s="7" t="s">
        <v>42</v>
      </c>
      <c r="P911" s="7" t="s">
        <v>43</v>
      </c>
      <c r="Q911" s="7">
        <v>0</v>
      </c>
      <c r="R911" s="7">
        <v>0</v>
      </c>
      <c r="S911" s="7">
        <v>0</v>
      </c>
      <c r="T911" s="7">
        <v>0</v>
      </c>
      <c r="U911" s="7">
        <v>6</v>
      </c>
      <c r="V911" s="7" t="s">
        <v>3923</v>
      </c>
      <c r="W911" s="7">
        <v>2</v>
      </c>
      <c r="X911" s="7">
        <v>4</v>
      </c>
      <c r="Y911" s="7">
        <v>4</v>
      </c>
      <c r="Z911" s="7">
        <v>1</v>
      </c>
      <c r="AA911" s="7">
        <v>1</v>
      </c>
      <c r="AB911" s="7">
        <v>1</v>
      </c>
      <c r="AC911" s="7" t="s">
        <v>0</v>
      </c>
      <c r="AD911" s="7">
        <v>2</v>
      </c>
      <c r="AE911" s="7" t="s">
        <v>532</v>
      </c>
    </row>
    <row r="912" spans="1:31" ht="38.25" x14ac:dyDescent="0.2">
      <c r="A912" s="8" t="str">
        <f>HYPERLINK("http://www.patentics.cn/invokexml.do?sx=showpatent_cn&amp;sf=ShowPatent&amp;spn=CN102484560B&amp;sx=showpatent_cn&amp;sv=bd00c3ccda06c30eee3af885b87a68d3","CN102484560B")</f>
        <v>CN102484560B</v>
      </c>
      <c r="B912" s="9" t="s">
        <v>4575</v>
      </c>
      <c r="C912" s="9" t="s">
        <v>4576</v>
      </c>
      <c r="D912" s="9" t="s">
        <v>301</v>
      </c>
      <c r="E912" s="9" t="s">
        <v>301</v>
      </c>
      <c r="F912" s="9" t="s">
        <v>4577</v>
      </c>
      <c r="G912" s="9" t="s">
        <v>4578</v>
      </c>
      <c r="H912" s="9" t="s">
        <v>4579</v>
      </c>
      <c r="I912" s="9" t="s">
        <v>4580</v>
      </c>
      <c r="J912" s="9" t="s">
        <v>1903</v>
      </c>
      <c r="K912" s="9" t="s">
        <v>68</v>
      </c>
      <c r="L912" s="9" t="s">
        <v>1668</v>
      </c>
      <c r="M912" s="9">
        <v>19</v>
      </c>
      <c r="N912" s="9">
        <v>11</v>
      </c>
      <c r="O912" s="9" t="s">
        <v>57</v>
      </c>
      <c r="P912" s="9" t="s">
        <v>58</v>
      </c>
      <c r="Q912" s="9">
        <v>2</v>
      </c>
      <c r="R912" s="9">
        <v>0</v>
      </c>
      <c r="S912" s="9">
        <v>2</v>
      </c>
      <c r="T912" s="9">
        <v>2</v>
      </c>
      <c r="U912" s="9">
        <v>0</v>
      </c>
      <c r="V912" s="9" t="s">
        <v>114</v>
      </c>
      <c r="W912" s="9">
        <v>0</v>
      </c>
      <c r="X912" s="9">
        <v>0</v>
      </c>
      <c r="Y912" s="9">
        <v>0</v>
      </c>
      <c r="Z912" s="9">
        <v>0</v>
      </c>
      <c r="AA912" s="9">
        <v>9</v>
      </c>
      <c r="AB912" s="9">
        <v>7</v>
      </c>
      <c r="AC912" s="9">
        <v>14</v>
      </c>
      <c r="AD912" s="9" t="s">
        <v>0</v>
      </c>
      <c r="AE912" s="9" t="s">
        <v>60</v>
      </c>
    </row>
    <row r="913" spans="1:31" ht="38.25" x14ac:dyDescent="0.2">
      <c r="A913" s="8" t="str">
        <f>HYPERLINK("http://www.patentics.cn/invokexml.do?sx=showpatent_cn&amp;sf=ShowPatent&amp;spn=CN102484560&amp;sx=showpatent_cn&amp;sv=9f05277afa3334fc82770c2f9310618e","CN102484560")</f>
        <v>CN102484560</v>
      </c>
      <c r="B913" s="9" t="s">
        <v>4575</v>
      </c>
      <c r="C913" s="9" t="s">
        <v>4576</v>
      </c>
      <c r="D913" s="9" t="s">
        <v>301</v>
      </c>
      <c r="E913" s="9" t="s">
        <v>301</v>
      </c>
      <c r="F913" s="9" t="s">
        <v>4577</v>
      </c>
      <c r="G913" s="9" t="s">
        <v>4578</v>
      </c>
      <c r="H913" s="9" t="s">
        <v>4579</v>
      </c>
      <c r="I913" s="9" t="s">
        <v>4580</v>
      </c>
      <c r="J913" s="9" t="s">
        <v>1546</v>
      </c>
      <c r="K913" s="9" t="s">
        <v>68</v>
      </c>
      <c r="L913" s="9" t="s">
        <v>1668</v>
      </c>
      <c r="M913" s="9">
        <v>33</v>
      </c>
      <c r="N913" s="9">
        <v>7</v>
      </c>
      <c r="O913" s="9" t="s">
        <v>42</v>
      </c>
      <c r="P913" s="9" t="s">
        <v>58</v>
      </c>
      <c r="Q913" s="9">
        <v>2</v>
      </c>
      <c r="R913" s="9">
        <v>0</v>
      </c>
      <c r="S913" s="9">
        <v>2</v>
      </c>
      <c r="T913" s="9">
        <v>2</v>
      </c>
      <c r="U913" s="9">
        <v>1</v>
      </c>
      <c r="V913" s="9" t="s">
        <v>466</v>
      </c>
      <c r="W913" s="9">
        <v>0</v>
      </c>
      <c r="X913" s="9">
        <v>1</v>
      </c>
      <c r="Y913" s="9">
        <v>1</v>
      </c>
      <c r="Z913" s="9">
        <v>1</v>
      </c>
      <c r="AA913" s="9">
        <v>9</v>
      </c>
      <c r="AB913" s="9">
        <v>7</v>
      </c>
      <c r="AC913" s="9">
        <v>14</v>
      </c>
      <c r="AD913" s="9" t="s">
        <v>0</v>
      </c>
      <c r="AE913" s="9" t="s">
        <v>60</v>
      </c>
    </row>
    <row r="914" spans="1:31" ht="25.5" x14ac:dyDescent="0.2">
      <c r="A914" s="6" t="str">
        <f>HYPERLINK("http://www.patentics.cn/invokexml.do?sx=showpatent_cn&amp;sf=ShowPatent&amp;spn=CN1585321&amp;sx=showpatent_cn&amp;sv=6ebc0a087076d03b98c0d856733ab688","CN1585321")</f>
        <v>CN1585321</v>
      </c>
      <c r="B914" s="7" t="s">
        <v>4581</v>
      </c>
      <c r="C914" s="7" t="s">
        <v>4582</v>
      </c>
      <c r="D914" s="7" t="s">
        <v>4056</v>
      </c>
      <c r="E914" s="7" t="s">
        <v>4056</v>
      </c>
      <c r="F914" s="7" t="s">
        <v>4583</v>
      </c>
      <c r="G914" s="7" t="s">
        <v>4584</v>
      </c>
      <c r="H914" s="7" t="s">
        <v>4585</v>
      </c>
      <c r="I914" s="7" t="s">
        <v>4585</v>
      </c>
      <c r="J914" s="7" t="s">
        <v>739</v>
      </c>
      <c r="K914" s="7" t="s">
        <v>286</v>
      </c>
      <c r="L914" s="7" t="s">
        <v>4586</v>
      </c>
      <c r="M914" s="7">
        <v>10</v>
      </c>
      <c r="N914" s="7">
        <v>36</v>
      </c>
      <c r="O914" s="7" t="s">
        <v>42</v>
      </c>
      <c r="P914" s="7" t="s">
        <v>43</v>
      </c>
      <c r="Q914" s="7">
        <v>0</v>
      </c>
      <c r="R914" s="7">
        <v>0</v>
      </c>
      <c r="S914" s="7">
        <v>0</v>
      </c>
      <c r="T914" s="7">
        <v>0</v>
      </c>
      <c r="U914" s="7">
        <v>6</v>
      </c>
      <c r="V914" s="7" t="s">
        <v>4587</v>
      </c>
      <c r="W914" s="7">
        <v>2</v>
      </c>
      <c r="X914" s="7">
        <v>4</v>
      </c>
      <c r="Y914" s="7">
        <v>3</v>
      </c>
      <c r="Z914" s="7">
        <v>1</v>
      </c>
      <c r="AA914" s="7">
        <v>0</v>
      </c>
      <c r="AB914" s="7">
        <v>0</v>
      </c>
      <c r="AC914" s="7" t="s">
        <v>0</v>
      </c>
      <c r="AD914" s="7">
        <v>2</v>
      </c>
      <c r="AE914" s="7" t="s">
        <v>1390</v>
      </c>
    </row>
    <row r="915" spans="1:31" ht="25.5" x14ac:dyDescent="0.2">
      <c r="A915" s="8" t="str">
        <f>HYPERLINK("http://www.patentics.cn/invokexml.do?sx=showpatent_cn&amp;sf=ShowPatent&amp;spn=CN102577205B&amp;sx=showpatent_cn&amp;sv=658c99b089c80e74f66e65be384fa1b7","CN102577205B")</f>
        <v>CN102577205B</v>
      </c>
      <c r="B915" s="9" t="s">
        <v>4588</v>
      </c>
      <c r="C915" s="9" t="s">
        <v>4589</v>
      </c>
      <c r="D915" s="9" t="s">
        <v>301</v>
      </c>
      <c r="E915" s="9" t="s">
        <v>301</v>
      </c>
      <c r="F915" s="9" t="s">
        <v>4590</v>
      </c>
      <c r="G915" s="9" t="s">
        <v>4591</v>
      </c>
      <c r="H915" s="9" t="s">
        <v>4592</v>
      </c>
      <c r="I915" s="9" t="s">
        <v>4593</v>
      </c>
      <c r="J915" s="9" t="s">
        <v>330</v>
      </c>
      <c r="K915" s="9" t="s">
        <v>68</v>
      </c>
      <c r="L915" s="9" t="s">
        <v>1668</v>
      </c>
      <c r="M915" s="9">
        <v>36</v>
      </c>
      <c r="N915" s="9">
        <v>22</v>
      </c>
      <c r="O915" s="9" t="s">
        <v>57</v>
      </c>
      <c r="P915" s="9" t="s">
        <v>58</v>
      </c>
      <c r="Q915" s="9">
        <v>5</v>
      </c>
      <c r="R915" s="9">
        <v>0</v>
      </c>
      <c r="S915" s="9">
        <v>5</v>
      </c>
      <c r="T915" s="9">
        <v>5</v>
      </c>
      <c r="U915" s="9">
        <v>0</v>
      </c>
      <c r="V915" s="9" t="s">
        <v>114</v>
      </c>
      <c r="W915" s="9">
        <v>0</v>
      </c>
      <c r="X915" s="9">
        <v>0</v>
      </c>
      <c r="Y915" s="9">
        <v>0</v>
      </c>
      <c r="Z915" s="9">
        <v>0</v>
      </c>
      <c r="AA915" s="9">
        <v>0</v>
      </c>
      <c r="AB915" s="9">
        <v>0</v>
      </c>
      <c r="AC915" s="9">
        <v>14</v>
      </c>
      <c r="AD915" s="9" t="s">
        <v>0</v>
      </c>
      <c r="AE915" s="9" t="s">
        <v>60</v>
      </c>
    </row>
    <row r="916" spans="1:31" ht="25.5" x14ac:dyDescent="0.2">
      <c r="A916" s="8" t="str">
        <f>HYPERLINK("http://www.patentics.cn/invokexml.do?sx=showpatent_cn&amp;sf=ShowPatent&amp;spn=CN102577205&amp;sx=showpatent_cn&amp;sv=a1ba35096f85aaa54920fd70600155b7","CN102577205")</f>
        <v>CN102577205</v>
      </c>
      <c r="B916" s="9" t="s">
        <v>4588</v>
      </c>
      <c r="C916" s="9" t="s">
        <v>4594</v>
      </c>
      <c r="D916" s="9" t="s">
        <v>301</v>
      </c>
      <c r="E916" s="9" t="s">
        <v>301</v>
      </c>
      <c r="F916" s="9" t="s">
        <v>4590</v>
      </c>
      <c r="G916" s="9" t="s">
        <v>4591</v>
      </c>
      <c r="H916" s="9" t="s">
        <v>4592</v>
      </c>
      <c r="I916" s="9" t="s">
        <v>4593</v>
      </c>
      <c r="J916" s="9" t="s">
        <v>2605</v>
      </c>
      <c r="K916" s="9" t="s">
        <v>68</v>
      </c>
      <c r="L916" s="9" t="s">
        <v>1668</v>
      </c>
      <c r="M916" s="9">
        <v>58</v>
      </c>
      <c r="N916" s="9">
        <v>16</v>
      </c>
      <c r="O916" s="9" t="s">
        <v>42</v>
      </c>
      <c r="P916" s="9" t="s">
        <v>58</v>
      </c>
      <c r="Q916" s="9">
        <v>5</v>
      </c>
      <c r="R916" s="9">
        <v>0</v>
      </c>
      <c r="S916" s="9">
        <v>5</v>
      </c>
      <c r="T916" s="9">
        <v>5</v>
      </c>
      <c r="U916" s="9">
        <v>1</v>
      </c>
      <c r="V916" s="9" t="s">
        <v>466</v>
      </c>
      <c r="W916" s="9">
        <v>0</v>
      </c>
      <c r="X916" s="9">
        <v>1</v>
      </c>
      <c r="Y916" s="9">
        <v>1</v>
      </c>
      <c r="Z916" s="9">
        <v>1</v>
      </c>
      <c r="AA916" s="9">
        <v>9</v>
      </c>
      <c r="AB916" s="9">
        <v>7</v>
      </c>
      <c r="AC916" s="9">
        <v>14</v>
      </c>
      <c r="AD916" s="9" t="s">
        <v>0</v>
      </c>
      <c r="AE916" s="9" t="s">
        <v>60</v>
      </c>
    </row>
    <row r="917" spans="1:31" ht="38.25" x14ac:dyDescent="0.2">
      <c r="A917" s="6" t="str">
        <f>HYPERLINK("http://www.patentics.cn/invokexml.do?sx=showpatent_cn&amp;sf=ShowPatent&amp;spn=CN1564468&amp;sx=showpatent_cn&amp;sv=4a8fdc2770ae4262dec060fd6d81f588","CN1564468")</f>
        <v>CN1564468</v>
      </c>
      <c r="B917" s="7" t="s">
        <v>4595</v>
      </c>
      <c r="C917" s="7" t="s">
        <v>4596</v>
      </c>
      <c r="D917" s="7" t="s">
        <v>1383</v>
      </c>
      <c r="E917" s="7" t="s">
        <v>1383</v>
      </c>
      <c r="F917" s="7" t="s">
        <v>4597</v>
      </c>
      <c r="G917" s="7" t="s">
        <v>4598</v>
      </c>
      <c r="H917" s="7" t="s">
        <v>4599</v>
      </c>
      <c r="I917" s="7" t="s">
        <v>4599</v>
      </c>
      <c r="J917" s="7" t="s">
        <v>3009</v>
      </c>
      <c r="K917" s="7" t="s">
        <v>89</v>
      </c>
      <c r="L917" s="7" t="s">
        <v>478</v>
      </c>
      <c r="M917" s="7">
        <v>8</v>
      </c>
      <c r="N917" s="7">
        <v>44</v>
      </c>
      <c r="O917" s="7" t="s">
        <v>42</v>
      </c>
      <c r="P917" s="7" t="s">
        <v>43</v>
      </c>
      <c r="Q917" s="7">
        <v>0</v>
      </c>
      <c r="R917" s="7">
        <v>0</v>
      </c>
      <c r="S917" s="7">
        <v>0</v>
      </c>
      <c r="T917" s="7">
        <v>0</v>
      </c>
      <c r="U917" s="7">
        <v>15</v>
      </c>
      <c r="V917" s="7" t="s">
        <v>2392</v>
      </c>
      <c r="W917" s="7">
        <v>0</v>
      </c>
      <c r="X917" s="7">
        <v>15</v>
      </c>
      <c r="Y917" s="7">
        <v>11</v>
      </c>
      <c r="Z917" s="7">
        <v>3</v>
      </c>
      <c r="AA917" s="7">
        <v>1</v>
      </c>
      <c r="AB917" s="7">
        <v>1</v>
      </c>
      <c r="AC917" s="7" t="s">
        <v>0</v>
      </c>
      <c r="AD917" s="7">
        <v>2</v>
      </c>
      <c r="AE917" s="7" t="s">
        <v>60</v>
      </c>
    </row>
    <row r="918" spans="1:31" ht="114.75" x14ac:dyDescent="0.2">
      <c r="A918" s="8" t="str">
        <f>HYPERLINK("http://www.patentics.cn/invokexml.do?sx=showpatent_cn&amp;sf=ShowPatent&amp;spn=US8923446&amp;sx=showpatent_cn&amp;sv=80b1dc26b1d4cabd7f33a3c9c7d73853","US8923446")</f>
        <v>US8923446</v>
      </c>
      <c r="B918" s="9" t="s">
        <v>4600</v>
      </c>
      <c r="C918" s="9" t="s">
        <v>4601</v>
      </c>
      <c r="D918" s="9" t="s">
        <v>48</v>
      </c>
      <c r="E918" s="9" t="s">
        <v>49</v>
      </c>
      <c r="F918" s="9" t="s">
        <v>4602</v>
      </c>
      <c r="G918" s="9" t="s">
        <v>4603</v>
      </c>
      <c r="H918" s="9" t="s">
        <v>365</v>
      </c>
      <c r="I918" s="9" t="s">
        <v>4604</v>
      </c>
      <c r="J918" s="9" t="s">
        <v>411</v>
      </c>
      <c r="K918" s="9" t="s">
        <v>68</v>
      </c>
      <c r="L918" s="9" t="s">
        <v>459</v>
      </c>
      <c r="M918" s="9">
        <v>16</v>
      </c>
      <c r="N918" s="9">
        <v>5</v>
      </c>
      <c r="O918" s="9" t="s">
        <v>57</v>
      </c>
      <c r="P918" s="9" t="s">
        <v>58</v>
      </c>
      <c r="Q918" s="9">
        <v>46</v>
      </c>
      <c r="R918" s="9">
        <v>2</v>
      </c>
      <c r="S918" s="9">
        <v>44</v>
      </c>
      <c r="T918" s="9">
        <v>33</v>
      </c>
      <c r="U918" s="9">
        <v>0</v>
      </c>
      <c r="V918" s="9" t="s">
        <v>114</v>
      </c>
      <c r="W918" s="9">
        <v>0</v>
      </c>
      <c r="X918" s="9">
        <v>0</v>
      </c>
      <c r="Y918" s="9">
        <v>0</v>
      </c>
      <c r="Z918" s="9">
        <v>0</v>
      </c>
      <c r="AA918" s="9">
        <v>41</v>
      </c>
      <c r="AB918" s="9">
        <v>10</v>
      </c>
      <c r="AC918" s="9">
        <v>14</v>
      </c>
      <c r="AD918" s="9" t="s">
        <v>0</v>
      </c>
      <c r="AE918" s="9" t="s">
        <v>60</v>
      </c>
    </row>
    <row r="919" spans="1:31" ht="51" x14ac:dyDescent="0.2">
      <c r="A919" s="8" t="str">
        <f>HYPERLINK("http://www.patentics.cn/invokexml.do?sx=showpatent_cn&amp;sf=ShowPatent&amp;spn=CN102281226B&amp;sx=showpatent_cn&amp;sv=f764e876446367ced93c74e214e06739","CN102281226B")</f>
        <v>CN102281226B</v>
      </c>
      <c r="B919" s="9" t="s">
        <v>4605</v>
      </c>
      <c r="C919" s="9" t="s">
        <v>4606</v>
      </c>
      <c r="D919" s="9" t="s">
        <v>301</v>
      </c>
      <c r="E919" s="9" t="s">
        <v>301</v>
      </c>
      <c r="F919" s="9" t="s">
        <v>4607</v>
      </c>
      <c r="G919" s="9" t="s">
        <v>2109</v>
      </c>
      <c r="H919" s="9" t="s">
        <v>365</v>
      </c>
      <c r="I919" s="9" t="s">
        <v>419</v>
      </c>
      <c r="J919" s="9" t="s">
        <v>4608</v>
      </c>
      <c r="K919" s="9" t="s">
        <v>68</v>
      </c>
      <c r="L919" s="9" t="s">
        <v>281</v>
      </c>
      <c r="M919" s="9">
        <v>9</v>
      </c>
      <c r="N919" s="9">
        <v>15</v>
      </c>
      <c r="O919" s="9" t="s">
        <v>57</v>
      </c>
      <c r="P919" s="9" t="s">
        <v>58</v>
      </c>
      <c r="Q919" s="9">
        <v>5</v>
      </c>
      <c r="R919" s="9">
        <v>1</v>
      </c>
      <c r="S919" s="9">
        <v>4</v>
      </c>
      <c r="T919" s="9">
        <v>3</v>
      </c>
      <c r="U919" s="9">
        <v>0</v>
      </c>
      <c r="V919" s="9" t="s">
        <v>114</v>
      </c>
      <c r="W919" s="9">
        <v>0</v>
      </c>
      <c r="X919" s="9">
        <v>0</v>
      </c>
      <c r="Y919" s="9">
        <v>0</v>
      </c>
      <c r="Z919" s="9">
        <v>0</v>
      </c>
      <c r="AA919" s="9">
        <v>41</v>
      </c>
      <c r="AB919" s="9">
        <v>10</v>
      </c>
      <c r="AC919" s="9">
        <v>14</v>
      </c>
      <c r="AD919" s="9" t="s">
        <v>0</v>
      </c>
      <c r="AE919" s="9" t="s">
        <v>60</v>
      </c>
    </row>
    <row r="920" spans="1:31" ht="25.5" x14ac:dyDescent="0.2">
      <c r="A920" s="6" t="str">
        <f>HYPERLINK("http://www.patentics.cn/invokexml.do?sx=showpatent_cn&amp;sf=ShowPatent&amp;spn=CN1545321&amp;sx=showpatent_cn&amp;sv=5cd57ea14e2eef29bd744796c1734151","CN1545321")</f>
        <v>CN1545321</v>
      </c>
      <c r="B920" s="7" t="s">
        <v>4609</v>
      </c>
      <c r="C920" s="7" t="s">
        <v>4610</v>
      </c>
      <c r="D920" s="7" t="s">
        <v>4611</v>
      </c>
      <c r="E920" s="7" t="s">
        <v>4612</v>
      </c>
      <c r="F920" s="7" t="s">
        <v>4613</v>
      </c>
      <c r="G920" s="7" t="s">
        <v>1385</v>
      </c>
      <c r="H920" s="7" t="s">
        <v>4614</v>
      </c>
      <c r="I920" s="7" t="s">
        <v>4614</v>
      </c>
      <c r="J920" s="7" t="s">
        <v>4615</v>
      </c>
      <c r="K920" s="7" t="s">
        <v>714</v>
      </c>
      <c r="L920" s="7" t="s">
        <v>1643</v>
      </c>
      <c r="M920" s="7">
        <v>1</v>
      </c>
      <c r="N920" s="7">
        <v>30</v>
      </c>
      <c r="O920" s="7" t="s">
        <v>42</v>
      </c>
      <c r="P920" s="7" t="s">
        <v>43</v>
      </c>
      <c r="Q920" s="7">
        <v>0</v>
      </c>
      <c r="R920" s="7">
        <v>0</v>
      </c>
      <c r="S920" s="7">
        <v>0</v>
      </c>
      <c r="T920" s="7">
        <v>0</v>
      </c>
      <c r="U920" s="7">
        <v>4</v>
      </c>
      <c r="V920" s="7" t="s">
        <v>4616</v>
      </c>
      <c r="W920" s="7">
        <v>0</v>
      </c>
      <c r="X920" s="7">
        <v>4</v>
      </c>
      <c r="Y920" s="7">
        <v>3</v>
      </c>
      <c r="Z920" s="7">
        <v>2</v>
      </c>
      <c r="AA920" s="7">
        <v>1</v>
      </c>
      <c r="AB920" s="7">
        <v>1</v>
      </c>
      <c r="AC920" s="7" t="s">
        <v>0</v>
      </c>
      <c r="AD920" s="7">
        <v>2</v>
      </c>
      <c r="AE920" s="7" t="s">
        <v>532</v>
      </c>
    </row>
    <row r="921" spans="1:31" ht="165.75" x14ac:dyDescent="0.2">
      <c r="A921" s="8" t="str">
        <f>HYPERLINK("http://www.patentics.cn/invokexml.do?sx=showpatent_cn&amp;sf=ShowPatent&amp;spn=US8862769&amp;sx=showpatent_cn&amp;sv=2622326a303a894e37d7f6f2b851afd0","US8862769")</f>
        <v>US8862769</v>
      </c>
      <c r="B921" s="9" t="s">
        <v>4617</v>
      </c>
      <c r="C921" s="9" t="s">
        <v>4618</v>
      </c>
      <c r="D921" s="9" t="s">
        <v>48</v>
      </c>
      <c r="E921" s="9" t="s">
        <v>49</v>
      </c>
      <c r="F921" s="9" t="s">
        <v>4619</v>
      </c>
      <c r="G921" s="9" t="s">
        <v>3038</v>
      </c>
      <c r="H921" s="9" t="s">
        <v>3414</v>
      </c>
      <c r="I921" s="9" t="s">
        <v>3414</v>
      </c>
      <c r="J921" s="9" t="s">
        <v>3764</v>
      </c>
      <c r="K921" s="9" t="s">
        <v>885</v>
      </c>
      <c r="L921" s="9" t="s">
        <v>1014</v>
      </c>
      <c r="M921" s="9">
        <v>41</v>
      </c>
      <c r="N921" s="9">
        <v>12</v>
      </c>
      <c r="O921" s="9" t="s">
        <v>57</v>
      </c>
      <c r="P921" s="9" t="s">
        <v>58</v>
      </c>
      <c r="Q921" s="9">
        <v>16</v>
      </c>
      <c r="R921" s="9">
        <v>0</v>
      </c>
      <c r="S921" s="9">
        <v>16</v>
      </c>
      <c r="T921" s="9">
        <v>11</v>
      </c>
      <c r="U921" s="9">
        <v>0</v>
      </c>
      <c r="V921" s="9" t="s">
        <v>114</v>
      </c>
      <c r="W921" s="9">
        <v>0</v>
      </c>
      <c r="X921" s="9">
        <v>0</v>
      </c>
      <c r="Y921" s="9">
        <v>0</v>
      </c>
      <c r="Z921" s="9">
        <v>0</v>
      </c>
      <c r="AA921" s="9">
        <v>7</v>
      </c>
      <c r="AB921" s="9">
        <v>6</v>
      </c>
      <c r="AC921" s="9">
        <v>14</v>
      </c>
      <c r="AD921" s="9" t="s">
        <v>0</v>
      </c>
      <c r="AE921" s="9" t="s">
        <v>60</v>
      </c>
    </row>
    <row r="922" spans="1:31" ht="63.75" x14ac:dyDescent="0.2">
      <c r="A922" s="8" t="str">
        <f>HYPERLINK("http://www.patentics.cn/invokexml.do?sx=showpatent_cn&amp;sf=ShowPatent&amp;spn=US9237355&amp;sx=showpatent_cn&amp;sv=a63e32a197d43b6fd5946a412856d5ac","US9237355")</f>
        <v>US9237355</v>
      </c>
      <c r="B922" s="9" t="s">
        <v>4620</v>
      </c>
      <c r="C922" s="9" t="s">
        <v>4621</v>
      </c>
      <c r="D922" s="9" t="s">
        <v>48</v>
      </c>
      <c r="E922" s="9" t="s">
        <v>49</v>
      </c>
      <c r="F922" s="9" t="s">
        <v>4622</v>
      </c>
      <c r="G922" s="9" t="s">
        <v>3420</v>
      </c>
      <c r="H922" s="9" t="s">
        <v>3856</v>
      </c>
      <c r="I922" s="9" t="s">
        <v>4623</v>
      </c>
      <c r="J922" s="9" t="s">
        <v>594</v>
      </c>
      <c r="K922" s="9" t="s">
        <v>714</v>
      </c>
      <c r="L922" s="9" t="s">
        <v>1559</v>
      </c>
      <c r="M922" s="9">
        <v>38</v>
      </c>
      <c r="N922" s="9">
        <v>17</v>
      </c>
      <c r="O922" s="9" t="s">
        <v>57</v>
      </c>
      <c r="P922" s="9" t="s">
        <v>58</v>
      </c>
      <c r="Q922" s="9">
        <v>45</v>
      </c>
      <c r="R922" s="9">
        <v>3</v>
      </c>
      <c r="S922" s="9">
        <v>42</v>
      </c>
      <c r="T922" s="9">
        <v>19</v>
      </c>
      <c r="U922" s="9">
        <v>0</v>
      </c>
      <c r="V922" s="9" t="s">
        <v>114</v>
      </c>
      <c r="W922" s="9">
        <v>0</v>
      </c>
      <c r="X922" s="9">
        <v>0</v>
      </c>
      <c r="Y922" s="9">
        <v>0</v>
      </c>
      <c r="Z922" s="9">
        <v>0</v>
      </c>
      <c r="AA922" s="9">
        <v>10</v>
      </c>
      <c r="AB922" s="9">
        <v>7</v>
      </c>
      <c r="AC922" s="9">
        <v>14</v>
      </c>
      <c r="AD922" s="9" t="s">
        <v>0</v>
      </c>
      <c r="AE922" s="9" t="s">
        <v>60</v>
      </c>
    </row>
    <row r="923" spans="1:31" ht="51" x14ac:dyDescent="0.2">
      <c r="A923" s="6" t="str">
        <f>HYPERLINK("http://www.patentics.cn/invokexml.do?sx=showpatent_cn&amp;sf=ShowPatent&amp;spn=CN1545243&amp;sx=showpatent_cn&amp;sv=31c7348335d7d7232938af7c242ff7c3","CN1545243")</f>
        <v>CN1545243</v>
      </c>
      <c r="B923" s="7" t="s">
        <v>4624</v>
      </c>
      <c r="C923" s="7" t="s">
        <v>4625</v>
      </c>
      <c r="D923" s="7" t="s">
        <v>432</v>
      </c>
      <c r="E923" s="7" t="s">
        <v>432</v>
      </c>
      <c r="F923" s="7" t="s">
        <v>4626</v>
      </c>
      <c r="G923" s="7" t="s">
        <v>4627</v>
      </c>
      <c r="H923" s="7" t="s">
        <v>4628</v>
      </c>
      <c r="I923" s="7" t="s">
        <v>4628</v>
      </c>
      <c r="J923" s="7" t="s">
        <v>4615</v>
      </c>
      <c r="K923" s="7" t="s">
        <v>68</v>
      </c>
      <c r="L923" s="7" t="s">
        <v>2953</v>
      </c>
      <c r="M923" s="7">
        <v>2</v>
      </c>
      <c r="N923" s="7">
        <v>45</v>
      </c>
      <c r="O923" s="7" t="s">
        <v>42</v>
      </c>
      <c r="P923" s="7" t="s">
        <v>43</v>
      </c>
      <c r="Q923" s="7">
        <v>0</v>
      </c>
      <c r="R923" s="7">
        <v>0</v>
      </c>
      <c r="S923" s="7">
        <v>0</v>
      </c>
      <c r="T923" s="7">
        <v>0</v>
      </c>
      <c r="U923" s="7">
        <v>31</v>
      </c>
      <c r="V923" s="7" t="s">
        <v>4629</v>
      </c>
      <c r="W923" s="7">
        <v>0</v>
      </c>
      <c r="X923" s="7">
        <v>31</v>
      </c>
      <c r="Y923" s="7">
        <v>20</v>
      </c>
      <c r="Z923" s="7">
        <v>3</v>
      </c>
      <c r="AA923" s="7">
        <v>1</v>
      </c>
      <c r="AB923" s="7">
        <v>1</v>
      </c>
      <c r="AC923" s="7" t="s">
        <v>0</v>
      </c>
      <c r="AD923" s="7">
        <v>2</v>
      </c>
      <c r="AE923" s="7" t="s">
        <v>532</v>
      </c>
    </row>
    <row r="924" spans="1:31" ht="76.5" x14ac:dyDescent="0.2">
      <c r="A924" s="8" t="str">
        <f>HYPERLINK("http://www.patentics.cn/invokexml.do?sx=showpatent_cn&amp;sf=ShowPatent&amp;spn=US8020001&amp;sx=showpatent_cn&amp;sv=6ce955ea480cdf4bade90e4ad546dacd","US8020001")</f>
        <v>US8020001</v>
      </c>
      <c r="B924" s="9" t="s">
        <v>4630</v>
      </c>
      <c r="C924" s="9" t="s">
        <v>4631</v>
      </c>
      <c r="D924" s="9" t="s">
        <v>48</v>
      </c>
      <c r="E924" s="9" t="s">
        <v>49</v>
      </c>
      <c r="F924" s="9" t="s">
        <v>4632</v>
      </c>
      <c r="G924" s="9" t="s">
        <v>4633</v>
      </c>
      <c r="H924" s="9" t="s">
        <v>4634</v>
      </c>
      <c r="I924" s="9" t="s">
        <v>4634</v>
      </c>
      <c r="J924" s="9" t="s">
        <v>696</v>
      </c>
      <c r="K924" s="9" t="s">
        <v>885</v>
      </c>
      <c r="L924" s="9" t="s">
        <v>2959</v>
      </c>
      <c r="M924" s="9">
        <v>35</v>
      </c>
      <c r="N924" s="9">
        <v>30</v>
      </c>
      <c r="O924" s="9" t="s">
        <v>57</v>
      </c>
      <c r="P924" s="9" t="s">
        <v>58</v>
      </c>
      <c r="Q924" s="9">
        <v>7</v>
      </c>
      <c r="R924" s="9">
        <v>0</v>
      </c>
      <c r="S924" s="9">
        <v>7</v>
      </c>
      <c r="T924" s="9">
        <v>5</v>
      </c>
      <c r="U924" s="9">
        <v>6</v>
      </c>
      <c r="V924" s="9" t="s">
        <v>4635</v>
      </c>
      <c r="W924" s="9">
        <v>0</v>
      </c>
      <c r="X924" s="9">
        <v>6</v>
      </c>
      <c r="Y924" s="9">
        <v>5</v>
      </c>
      <c r="Z924" s="9">
        <v>1</v>
      </c>
      <c r="AA924" s="9">
        <v>9</v>
      </c>
      <c r="AB924" s="9">
        <v>6</v>
      </c>
      <c r="AC924" s="9">
        <v>14</v>
      </c>
      <c r="AD924" s="9" t="s">
        <v>0</v>
      </c>
      <c r="AE924" s="9" t="s">
        <v>60</v>
      </c>
    </row>
    <row r="925" spans="1:31" ht="76.5" x14ac:dyDescent="0.2">
      <c r="A925" s="8" t="str">
        <f>HYPERLINK("http://www.patentics.cn/invokexml.do?sx=showpatent_cn&amp;sf=ShowPatent&amp;spn=CN101385033B&amp;sx=showpatent_cn&amp;sv=32caae6bda6fd25f841f0b27f65675d7","CN101385033B")</f>
        <v>CN101385033B</v>
      </c>
      <c r="B925" s="9" t="s">
        <v>4636</v>
      </c>
      <c r="C925" s="9" t="s">
        <v>4637</v>
      </c>
      <c r="D925" s="9" t="s">
        <v>301</v>
      </c>
      <c r="E925" s="9" t="s">
        <v>301</v>
      </c>
      <c r="F925" s="9" t="s">
        <v>4638</v>
      </c>
      <c r="G925" s="9" t="s">
        <v>4639</v>
      </c>
      <c r="H925" s="9" t="s">
        <v>4634</v>
      </c>
      <c r="I925" s="9" t="s">
        <v>4640</v>
      </c>
      <c r="J925" s="9" t="s">
        <v>1546</v>
      </c>
      <c r="K925" s="9" t="s">
        <v>885</v>
      </c>
      <c r="L925" s="9" t="s">
        <v>2959</v>
      </c>
      <c r="M925" s="9">
        <v>32</v>
      </c>
      <c r="N925" s="9">
        <v>17</v>
      </c>
      <c r="O925" s="9" t="s">
        <v>57</v>
      </c>
      <c r="P925" s="9" t="s">
        <v>58</v>
      </c>
      <c r="Q925" s="9">
        <v>4</v>
      </c>
      <c r="R925" s="9">
        <v>0</v>
      </c>
      <c r="S925" s="9">
        <v>4</v>
      </c>
      <c r="T925" s="9">
        <v>3</v>
      </c>
      <c r="U925" s="9">
        <v>0</v>
      </c>
      <c r="V925" s="9" t="s">
        <v>114</v>
      </c>
      <c r="W925" s="9">
        <v>0</v>
      </c>
      <c r="X925" s="9">
        <v>0</v>
      </c>
      <c r="Y925" s="9">
        <v>0</v>
      </c>
      <c r="Z925" s="9">
        <v>0</v>
      </c>
      <c r="AA925" s="9">
        <v>9</v>
      </c>
      <c r="AB925" s="9">
        <v>6</v>
      </c>
      <c r="AC925" s="9">
        <v>14</v>
      </c>
      <c r="AD925" s="9" t="s">
        <v>0</v>
      </c>
      <c r="AE925" s="9" t="s">
        <v>60</v>
      </c>
    </row>
    <row r="926" spans="1:31" ht="63.75" x14ac:dyDescent="0.2">
      <c r="A926" s="6" t="str">
        <f>HYPERLINK("http://www.patentics.cn/invokexml.do?sx=showpatent_cn&amp;sf=ShowPatent&amp;spn=CN1512684&amp;sx=showpatent_cn&amp;sv=66c2e5a4ac3aa3ffe92cbb7fb536b136","CN1512684")</f>
        <v>CN1512684</v>
      </c>
      <c r="B926" s="7" t="s">
        <v>4641</v>
      </c>
      <c r="C926" s="7" t="s">
        <v>4642</v>
      </c>
      <c r="D926" s="7" t="s">
        <v>4643</v>
      </c>
      <c r="E926" s="7" t="s">
        <v>4643</v>
      </c>
      <c r="F926" s="7" t="s">
        <v>4644</v>
      </c>
      <c r="G926" s="7" t="s">
        <v>4645</v>
      </c>
      <c r="H926" s="7" t="s">
        <v>4646</v>
      </c>
      <c r="I926" s="7" t="s">
        <v>4646</v>
      </c>
      <c r="J926" s="7" t="s">
        <v>4647</v>
      </c>
      <c r="K926" s="7" t="s">
        <v>89</v>
      </c>
      <c r="L926" s="7" t="s">
        <v>4648</v>
      </c>
      <c r="M926" s="7">
        <v>15</v>
      </c>
      <c r="N926" s="7">
        <v>40</v>
      </c>
      <c r="O926" s="7" t="s">
        <v>42</v>
      </c>
      <c r="P926" s="7" t="s">
        <v>43</v>
      </c>
      <c r="Q926" s="7">
        <v>0</v>
      </c>
      <c r="R926" s="7">
        <v>0</v>
      </c>
      <c r="S926" s="7">
        <v>0</v>
      </c>
      <c r="T926" s="7">
        <v>0</v>
      </c>
      <c r="U926" s="7">
        <v>22</v>
      </c>
      <c r="V926" s="7" t="s">
        <v>4649</v>
      </c>
      <c r="W926" s="7">
        <v>4</v>
      </c>
      <c r="X926" s="7">
        <v>18</v>
      </c>
      <c r="Y926" s="7">
        <v>7</v>
      </c>
      <c r="Z926" s="7">
        <v>3</v>
      </c>
      <c r="AA926" s="7">
        <v>1</v>
      </c>
      <c r="AB926" s="7">
        <v>1</v>
      </c>
      <c r="AC926" s="7" t="s">
        <v>0</v>
      </c>
      <c r="AD926" s="7">
        <v>2</v>
      </c>
      <c r="AE926" s="7" t="s">
        <v>60</v>
      </c>
    </row>
    <row r="927" spans="1:31" ht="140.25" x14ac:dyDescent="0.2">
      <c r="A927" s="8" t="str">
        <f>HYPERLINK("http://www.patentics.cn/invokexml.do?sx=showpatent_cn&amp;sf=ShowPatent&amp;spn=US9300404&amp;sx=showpatent_cn&amp;sv=19343e7368635d4813a8280469d711eb","US9300404")</f>
        <v>US9300404</v>
      </c>
      <c r="B927" s="9" t="s">
        <v>4650</v>
      </c>
      <c r="C927" s="9" t="s">
        <v>4651</v>
      </c>
      <c r="D927" s="9" t="s">
        <v>48</v>
      </c>
      <c r="E927" s="9" t="s">
        <v>49</v>
      </c>
      <c r="F927" s="9" t="s">
        <v>4652</v>
      </c>
      <c r="G927" s="9" t="s">
        <v>4653</v>
      </c>
      <c r="H927" s="9" t="s">
        <v>4654</v>
      </c>
      <c r="I927" s="9" t="s">
        <v>4655</v>
      </c>
      <c r="J927" s="9" t="s">
        <v>502</v>
      </c>
      <c r="K927" s="9" t="s">
        <v>89</v>
      </c>
      <c r="L927" s="9" t="s">
        <v>4656</v>
      </c>
      <c r="M927" s="9">
        <v>25</v>
      </c>
      <c r="N927" s="9">
        <v>20</v>
      </c>
      <c r="O927" s="9" t="s">
        <v>57</v>
      </c>
      <c r="P927" s="9" t="s">
        <v>58</v>
      </c>
      <c r="Q927" s="9">
        <v>15</v>
      </c>
      <c r="R927" s="9">
        <v>0</v>
      </c>
      <c r="S927" s="9">
        <v>15</v>
      </c>
      <c r="T927" s="9">
        <v>10</v>
      </c>
      <c r="U927" s="9">
        <v>0</v>
      </c>
      <c r="V927" s="9" t="s">
        <v>114</v>
      </c>
      <c r="W927" s="9">
        <v>0</v>
      </c>
      <c r="X927" s="9">
        <v>0</v>
      </c>
      <c r="Y927" s="9">
        <v>0</v>
      </c>
      <c r="Z927" s="9">
        <v>0</v>
      </c>
      <c r="AA927" s="9">
        <v>2</v>
      </c>
      <c r="AB927" s="9">
        <v>2</v>
      </c>
      <c r="AC927" s="9">
        <v>14</v>
      </c>
      <c r="AD927" s="9" t="s">
        <v>0</v>
      </c>
      <c r="AE927" s="9" t="s">
        <v>60</v>
      </c>
    </row>
    <row r="928" spans="1:31" ht="140.25" x14ac:dyDescent="0.2">
      <c r="A928" s="8" t="str">
        <f>HYPERLINK("http://www.patentics.cn/invokexml.do?sx=showpatent_cn&amp;sf=ShowPatent&amp;spn=WO2014063283&amp;sx=showpatent_cn&amp;sv=221ade7c284611a6c83d61c2fbe9359b","WO2014063283")</f>
        <v>WO2014063283</v>
      </c>
      <c r="B928" s="9" t="s">
        <v>4657</v>
      </c>
      <c r="C928" s="9" t="s">
        <v>4658</v>
      </c>
      <c r="D928" s="9" t="s">
        <v>117</v>
      </c>
      <c r="E928" s="9" t="s">
        <v>49</v>
      </c>
      <c r="F928" s="9" t="s">
        <v>4659</v>
      </c>
      <c r="G928" s="9" t="s">
        <v>4660</v>
      </c>
      <c r="H928" s="9" t="s">
        <v>520</v>
      </c>
      <c r="I928" s="9" t="s">
        <v>520</v>
      </c>
      <c r="J928" s="9" t="s">
        <v>4661</v>
      </c>
      <c r="K928" s="9" t="s">
        <v>68</v>
      </c>
      <c r="L928" s="9" t="s">
        <v>4251</v>
      </c>
      <c r="M928" s="9">
        <v>21</v>
      </c>
      <c r="N928" s="9">
        <v>13</v>
      </c>
      <c r="O928" s="9" t="s">
        <v>850</v>
      </c>
      <c r="P928" s="9" t="s">
        <v>43</v>
      </c>
      <c r="Q928" s="9">
        <v>3</v>
      </c>
      <c r="R928" s="9">
        <v>0</v>
      </c>
      <c r="S928" s="9">
        <v>3</v>
      </c>
      <c r="T928" s="9">
        <v>2</v>
      </c>
      <c r="U928" s="9">
        <v>1</v>
      </c>
      <c r="V928" s="9" t="s">
        <v>1591</v>
      </c>
      <c r="W928" s="9">
        <v>0</v>
      </c>
      <c r="X928" s="9">
        <v>1</v>
      </c>
      <c r="Y928" s="9">
        <v>1</v>
      </c>
      <c r="Z928" s="9">
        <v>1</v>
      </c>
      <c r="AA928" s="9">
        <v>5</v>
      </c>
      <c r="AB928" s="9">
        <v>6</v>
      </c>
      <c r="AC928" s="9">
        <v>14</v>
      </c>
      <c r="AD928" s="9" t="s">
        <v>0</v>
      </c>
      <c r="AE928" s="9" t="s">
        <v>0</v>
      </c>
    </row>
    <row r="929" spans="1:31" ht="38.25" x14ac:dyDescent="0.2">
      <c r="A929" s="6" t="str">
        <f>HYPERLINK("http://www.patentics.cn/invokexml.do?sx=showpatent_cn&amp;sf=ShowPatent&amp;spn=CN1507286&amp;sx=showpatent_cn&amp;sv=29d484305e28d54fe78d7f2778973bf3","CN1507286")</f>
        <v>CN1507286</v>
      </c>
      <c r="B929" s="7" t="s">
        <v>4662</v>
      </c>
      <c r="C929" s="7" t="s">
        <v>4663</v>
      </c>
      <c r="D929" s="7" t="s">
        <v>1885</v>
      </c>
      <c r="E929" s="7" t="s">
        <v>1886</v>
      </c>
      <c r="F929" s="7" t="s">
        <v>4664</v>
      </c>
      <c r="G929" s="7" t="s">
        <v>4665</v>
      </c>
      <c r="H929" s="7" t="s">
        <v>4666</v>
      </c>
      <c r="I929" s="7" t="s">
        <v>4666</v>
      </c>
      <c r="J929" s="7" t="s">
        <v>4667</v>
      </c>
      <c r="K929" s="7" t="s">
        <v>96</v>
      </c>
      <c r="L929" s="7" t="s">
        <v>1253</v>
      </c>
      <c r="M929" s="7">
        <v>3</v>
      </c>
      <c r="N929" s="7">
        <v>15</v>
      </c>
      <c r="O929" s="7" t="s">
        <v>42</v>
      </c>
      <c r="P929" s="7" t="s">
        <v>43</v>
      </c>
      <c r="Q929" s="7">
        <v>0</v>
      </c>
      <c r="R929" s="7">
        <v>0</v>
      </c>
      <c r="S929" s="7">
        <v>0</v>
      </c>
      <c r="T929" s="7">
        <v>0</v>
      </c>
      <c r="U929" s="7">
        <v>24</v>
      </c>
      <c r="V929" s="7" t="s">
        <v>4668</v>
      </c>
      <c r="W929" s="7">
        <v>0</v>
      </c>
      <c r="X929" s="7">
        <v>24</v>
      </c>
      <c r="Y929" s="7">
        <v>6</v>
      </c>
      <c r="Z929" s="7">
        <v>3</v>
      </c>
      <c r="AA929" s="7">
        <v>1</v>
      </c>
      <c r="AB929" s="7">
        <v>1</v>
      </c>
      <c r="AC929" s="7" t="s">
        <v>0</v>
      </c>
      <c r="AD929" s="7">
        <v>2</v>
      </c>
      <c r="AE929" s="7" t="s">
        <v>532</v>
      </c>
    </row>
    <row r="930" spans="1:31" ht="38.25" x14ac:dyDescent="0.2">
      <c r="A930" s="8" t="str">
        <f>HYPERLINK("http://www.patentics.cn/invokexml.do?sx=showpatent_cn&amp;sf=ShowPatent&amp;spn=CN101107829B&amp;sx=showpatent_cn&amp;sv=83ead69447311228ce93fb5ef8afdb2d","CN101107829B")</f>
        <v>CN101107829B</v>
      </c>
      <c r="B930" s="9" t="s">
        <v>4669</v>
      </c>
      <c r="C930" s="9" t="s">
        <v>4670</v>
      </c>
      <c r="D930" s="9" t="s">
        <v>301</v>
      </c>
      <c r="E930" s="9" t="s">
        <v>301</v>
      </c>
      <c r="F930" s="9" t="s">
        <v>4671</v>
      </c>
      <c r="G930" s="9" t="s">
        <v>4672</v>
      </c>
      <c r="H930" s="9" t="s">
        <v>4673</v>
      </c>
      <c r="I930" s="9" t="s">
        <v>4674</v>
      </c>
      <c r="J930" s="9" t="s">
        <v>1908</v>
      </c>
      <c r="K930" s="9" t="s">
        <v>68</v>
      </c>
      <c r="L930" s="9" t="s">
        <v>2336</v>
      </c>
      <c r="M930" s="9">
        <v>25</v>
      </c>
      <c r="N930" s="9">
        <v>9</v>
      </c>
      <c r="O930" s="9" t="s">
        <v>57</v>
      </c>
      <c r="P930" s="9" t="s">
        <v>58</v>
      </c>
      <c r="Q930" s="9">
        <v>3</v>
      </c>
      <c r="R930" s="9">
        <v>0</v>
      </c>
      <c r="S930" s="9">
        <v>3</v>
      </c>
      <c r="T930" s="9">
        <v>3</v>
      </c>
      <c r="U930" s="9">
        <v>0</v>
      </c>
      <c r="V930" s="9" t="s">
        <v>114</v>
      </c>
      <c r="W930" s="9">
        <v>0</v>
      </c>
      <c r="X930" s="9">
        <v>0</v>
      </c>
      <c r="Y930" s="9">
        <v>0</v>
      </c>
      <c r="Z930" s="9">
        <v>0</v>
      </c>
      <c r="AA930" s="9">
        <v>18</v>
      </c>
      <c r="AB930" s="9">
        <v>9</v>
      </c>
      <c r="AC930" s="9">
        <v>14</v>
      </c>
      <c r="AD930" s="9" t="s">
        <v>0</v>
      </c>
      <c r="AE930" s="9" t="s">
        <v>60</v>
      </c>
    </row>
    <row r="931" spans="1:31" ht="25.5" x14ac:dyDescent="0.2">
      <c r="A931" s="8" t="str">
        <f>HYPERLINK("http://www.patentics.cn/invokexml.do?sx=showpatent_cn&amp;sf=ShowPatent&amp;spn=CN101411157B&amp;sx=showpatent_cn&amp;sv=2cca7bca16edf03e55d12ac8841e6baf","CN101411157B")</f>
        <v>CN101411157B</v>
      </c>
      <c r="B931" s="9" t="s">
        <v>4675</v>
      </c>
      <c r="C931" s="9" t="s">
        <v>4676</v>
      </c>
      <c r="D931" s="9" t="s">
        <v>301</v>
      </c>
      <c r="E931" s="9" t="s">
        <v>301</v>
      </c>
      <c r="F931" s="9" t="s">
        <v>4677</v>
      </c>
      <c r="G931" s="9" t="s">
        <v>4677</v>
      </c>
      <c r="H931" s="9" t="s">
        <v>4678</v>
      </c>
      <c r="I931" s="9" t="s">
        <v>4679</v>
      </c>
      <c r="J931" s="9" t="s">
        <v>703</v>
      </c>
      <c r="K931" s="9" t="s">
        <v>68</v>
      </c>
      <c r="L931" s="9" t="s">
        <v>2336</v>
      </c>
      <c r="M931" s="9">
        <v>20</v>
      </c>
      <c r="N931" s="9">
        <v>10</v>
      </c>
      <c r="O931" s="9" t="s">
        <v>57</v>
      </c>
      <c r="P931" s="9" t="s">
        <v>58</v>
      </c>
      <c r="Q931" s="9">
        <v>3</v>
      </c>
      <c r="R931" s="9">
        <v>1</v>
      </c>
      <c r="S931" s="9">
        <v>2</v>
      </c>
      <c r="T931" s="9">
        <v>3</v>
      </c>
      <c r="U931" s="9">
        <v>0</v>
      </c>
      <c r="V931" s="9" t="s">
        <v>114</v>
      </c>
      <c r="W931" s="9">
        <v>0</v>
      </c>
      <c r="X931" s="9">
        <v>0</v>
      </c>
      <c r="Y931" s="9">
        <v>0</v>
      </c>
      <c r="Z931" s="9">
        <v>0</v>
      </c>
      <c r="AA931" s="9">
        <v>17</v>
      </c>
      <c r="AB931" s="9">
        <v>10</v>
      </c>
      <c r="AC931" s="9">
        <v>14</v>
      </c>
      <c r="AD931" s="9" t="s">
        <v>0</v>
      </c>
      <c r="AE931" s="9" t="s">
        <v>60</v>
      </c>
    </row>
    <row r="932" spans="1:31" ht="25.5" x14ac:dyDescent="0.2">
      <c r="A932" s="6" t="str">
        <f>HYPERLINK("http://www.patentics.cn/invokexml.do?sx=showpatent_cn&amp;sf=ShowPatent&amp;spn=CN1484452&amp;sx=showpatent_cn&amp;sv=905cd35803d19c509ff9ca7935b5bb6b","CN1484452")</f>
        <v>CN1484452</v>
      </c>
      <c r="B932" s="7" t="s">
        <v>4680</v>
      </c>
      <c r="C932" s="7" t="s">
        <v>4681</v>
      </c>
      <c r="D932" s="7" t="s">
        <v>1420</v>
      </c>
      <c r="E932" s="7" t="s">
        <v>1420</v>
      </c>
      <c r="F932" s="7" t="s">
        <v>4682</v>
      </c>
      <c r="G932" s="7" t="s">
        <v>4683</v>
      </c>
      <c r="H932" s="7" t="s">
        <v>337</v>
      </c>
      <c r="I932" s="7" t="s">
        <v>337</v>
      </c>
      <c r="J932" s="7" t="s">
        <v>4684</v>
      </c>
      <c r="K932" s="7" t="s">
        <v>714</v>
      </c>
      <c r="L932" s="7" t="s">
        <v>1346</v>
      </c>
      <c r="M932" s="7">
        <v>6</v>
      </c>
      <c r="N932" s="7">
        <v>25</v>
      </c>
      <c r="O932" s="7" t="s">
        <v>42</v>
      </c>
      <c r="P932" s="7" t="s">
        <v>43</v>
      </c>
      <c r="Q932" s="7">
        <v>0</v>
      </c>
      <c r="R932" s="7">
        <v>0</v>
      </c>
      <c r="S932" s="7">
        <v>0</v>
      </c>
      <c r="T932" s="7">
        <v>0</v>
      </c>
      <c r="U932" s="7">
        <v>4</v>
      </c>
      <c r="V932" s="7" t="s">
        <v>632</v>
      </c>
      <c r="W932" s="7">
        <v>0</v>
      </c>
      <c r="X932" s="7">
        <v>4</v>
      </c>
      <c r="Y932" s="7">
        <v>2</v>
      </c>
      <c r="Z932" s="7">
        <v>2</v>
      </c>
      <c r="AA932" s="7">
        <v>1</v>
      </c>
      <c r="AB932" s="7">
        <v>1</v>
      </c>
      <c r="AC932" s="7" t="s">
        <v>0</v>
      </c>
      <c r="AD932" s="7">
        <v>2</v>
      </c>
      <c r="AE932" s="7" t="s">
        <v>532</v>
      </c>
    </row>
    <row r="933" spans="1:31" ht="25.5" x14ac:dyDescent="0.2">
      <c r="A933" s="8" t="str">
        <f>HYPERLINK("http://www.patentics.cn/invokexml.do?sx=showpatent_cn&amp;sf=ShowPatent&amp;spn=CN101411197B&amp;sx=showpatent_cn&amp;sv=0184ad1e9686bb1cc06ef5323456376b","CN101411197B")</f>
        <v>CN101411197B</v>
      </c>
      <c r="B933" s="9" t="s">
        <v>4685</v>
      </c>
      <c r="C933" s="9" t="s">
        <v>4686</v>
      </c>
      <c r="D933" s="9" t="s">
        <v>301</v>
      </c>
      <c r="E933" s="9" t="s">
        <v>301</v>
      </c>
      <c r="F933" s="9" t="s">
        <v>4687</v>
      </c>
      <c r="G933" s="9" t="s">
        <v>2891</v>
      </c>
      <c r="H933" s="9" t="s">
        <v>4688</v>
      </c>
      <c r="I933" s="9" t="s">
        <v>4689</v>
      </c>
      <c r="J933" s="9" t="s">
        <v>1094</v>
      </c>
      <c r="K933" s="9" t="s">
        <v>714</v>
      </c>
      <c r="L933" s="9" t="s">
        <v>1346</v>
      </c>
      <c r="M933" s="9">
        <v>28</v>
      </c>
      <c r="N933" s="9">
        <v>29</v>
      </c>
      <c r="O933" s="9" t="s">
        <v>57</v>
      </c>
      <c r="P933" s="9" t="s">
        <v>58</v>
      </c>
      <c r="Q933" s="9">
        <v>5</v>
      </c>
      <c r="R933" s="9">
        <v>0</v>
      </c>
      <c r="S933" s="9">
        <v>5</v>
      </c>
      <c r="T933" s="9">
        <v>4</v>
      </c>
      <c r="U933" s="9">
        <v>0</v>
      </c>
      <c r="V933" s="9" t="s">
        <v>114</v>
      </c>
      <c r="W933" s="9">
        <v>0</v>
      </c>
      <c r="X933" s="9">
        <v>0</v>
      </c>
      <c r="Y933" s="9">
        <v>0</v>
      </c>
      <c r="Z933" s="9">
        <v>0</v>
      </c>
      <c r="AA933" s="9">
        <v>15</v>
      </c>
      <c r="AB933" s="9">
        <v>10</v>
      </c>
      <c r="AC933" s="9">
        <v>14</v>
      </c>
      <c r="AD933" s="9" t="s">
        <v>0</v>
      </c>
      <c r="AE933" s="9" t="s">
        <v>60</v>
      </c>
    </row>
    <row r="934" spans="1:31" ht="25.5" x14ac:dyDescent="0.2">
      <c r="A934" s="8" t="str">
        <f>HYPERLINK("http://www.patentics.cn/invokexml.do?sx=showpatent_cn&amp;sf=ShowPatent&amp;spn=TWI393446&amp;sx=showpatent_cn&amp;sv=be5e743fc64f926442587bf27077b25e","TWI393446")</f>
        <v>TWI393446</v>
      </c>
      <c r="B934" s="9" t="s">
        <v>4690</v>
      </c>
      <c r="C934" s="9" t="s">
        <v>4691</v>
      </c>
      <c r="D934" s="9" t="s">
        <v>2189</v>
      </c>
      <c r="E934" s="9" t="s">
        <v>301</v>
      </c>
      <c r="F934" s="9" t="s">
        <v>4692</v>
      </c>
      <c r="G934" s="9" t="s">
        <v>2891</v>
      </c>
      <c r="H934" s="9" t="s">
        <v>4688</v>
      </c>
      <c r="I934" s="9" t="s">
        <v>3657</v>
      </c>
      <c r="J934" s="9" t="s">
        <v>4693</v>
      </c>
      <c r="K934" s="9" t="s">
        <v>714</v>
      </c>
      <c r="L934" s="9" t="s">
        <v>1346</v>
      </c>
      <c r="M934" s="9">
        <v>30</v>
      </c>
      <c r="N934" s="9">
        <v>32</v>
      </c>
      <c r="O934" s="9" t="s">
        <v>57</v>
      </c>
      <c r="P934" s="9" t="s">
        <v>58</v>
      </c>
      <c r="Q934" s="9">
        <v>12</v>
      </c>
      <c r="R934" s="9">
        <v>0</v>
      </c>
      <c r="S934" s="9">
        <v>12</v>
      </c>
      <c r="T934" s="9">
        <v>6</v>
      </c>
      <c r="U934" s="9">
        <v>0</v>
      </c>
      <c r="V934" s="9" t="s">
        <v>114</v>
      </c>
      <c r="W934" s="9">
        <v>0</v>
      </c>
      <c r="X934" s="9">
        <v>0</v>
      </c>
      <c r="Y934" s="9">
        <v>0</v>
      </c>
      <c r="Z934" s="9">
        <v>0</v>
      </c>
      <c r="AA934" s="9">
        <v>15</v>
      </c>
      <c r="AB934" s="9">
        <v>10</v>
      </c>
      <c r="AC934" s="9">
        <v>14</v>
      </c>
      <c r="AD934" s="9" t="s">
        <v>0</v>
      </c>
      <c r="AE934" s="9" t="s">
        <v>0</v>
      </c>
    </row>
    <row r="935" spans="1:31" ht="25.5" x14ac:dyDescent="0.2">
      <c r="A935" s="6" t="str">
        <f>HYPERLINK("http://www.patentics.cn/invokexml.do?sx=showpatent_cn&amp;sf=ShowPatent&amp;spn=CN1476253&amp;sx=showpatent_cn&amp;sv=b7cfc29335f14902b340836e0cd63a35","CN1476253")</f>
        <v>CN1476253</v>
      </c>
      <c r="B935" s="7" t="s">
        <v>4694</v>
      </c>
      <c r="C935" s="7" t="s">
        <v>4695</v>
      </c>
      <c r="D935" s="7" t="s">
        <v>1383</v>
      </c>
      <c r="E935" s="7" t="s">
        <v>1383</v>
      </c>
      <c r="F935" s="7" t="s">
        <v>4696</v>
      </c>
      <c r="G935" s="7" t="s">
        <v>1385</v>
      </c>
      <c r="H935" s="7" t="s">
        <v>4697</v>
      </c>
      <c r="I935" s="7" t="s">
        <v>4697</v>
      </c>
      <c r="J935" s="7" t="s">
        <v>4698</v>
      </c>
      <c r="K935" s="7" t="s">
        <v>714</v>
      </c>
      <c r="L935" s="7" t="s">
        <v>2278</v>
      </c>
      <c r="M935" s="7">
        <v>1</v>
      </c>
      <c r="N935" s="7">
        <v>31</v>
      </c>
      <c r="O935" s="7" t="s">
        <v>42</v>
      </c>
      <c r="P935" s="7" t="s">
        <v>43</v>
      </c>
      <c r="Q935" s="7">
        <v>0</v>
      </c>
      <c r="R935" s="7">
        <v>0</v>
      </c>
      <c r="S935" s="7">
        <v>0</v>
      </c>
      <c r="T935" s="7">
        <v>0</v>
      </c>
      <c r="U935" s="7">
        <v>18</v>
      </c>
      <c r="V935" s="7" t="s">
        <v>4699</v>
      </c>
      <c r="W935" s="7">
        <v>0</v>
      </c>
      <c r="X935" s="7">
        <v>18</v>
      </c>
      <c r="Y935" s="7">
        <v>11</v>
      </c>
      <c r="Z935" s="7">
        <v>3</v>
      </c>
      <c r="AA935" s="7">
        <v>1</v>
      </c>
      <c r="AB935" s="7">
        <v>1</v>
      </c>
      <c r="AC935" s="7" t="s">
        <v>0</v>
      </c>
      <c r="AD935" s="7">
        <v>2</v>
      </c>
      <c r="AE935" s="7" t="s">
        <v>60</v>
      </c>
    </row>
    <row r="936" spans="1:31" ht="63.75" x14ac:dyDescent="0.2">
      <c r="A936" s="8" t="str">
        <f>HYPERLINK("http://www.patentics.cn/invokexml.do?sx=showpatent_cn&amp;sf=ShowPatent&amp;spn=US9787982&amp;sx=showpatent_cn&amp;sv=43c85b10068e412e8ef55311a3d34b64","US9787982")</f>
        <v>US9787982</v>
      </c>
      <c r="B936" s="9" t="s">
        <v>4700</v>
      </c>
      <c r="C936" s="9" t="s">
        <v>4701</v>
      </c>
      <c r="D936" s="9" t="s">
        <v>48</v>
      </c>
      <c r="E936" s="9" t="s">
        <v>49</v>
      </c>
      <c r="F936" s="9" t="s">
        <v>4702</v>
      </c>
      <c r="G936" s="9" t="s">
        <v>4703</v>
      </c>
      <c r="H936" s="9" t="s">
        <v>0</v>
      </c>
      <c r="I936" s="9" t="s">
        <v>471</v>
      </c>
      <c r="J936" s="9" t="s">
        <v>414</v>
      </c>
      <c r="K936" s="9" t="s">
        <v>714</v>
      </c>
      <c r="L936" s="9" t="s">
        <v>1559</v>
      </c>
      <c r="M936" s="9">
        <v>52</v>
      </c>
      <c r="N936" s="9">
        <v>19</v>
      </c>
      <c r="O936" s="9" t="s">
        <v>57</v>
      </c>
      <c r="P936" s="9" t="s">
        <v>58</v>
      </c>
      <c r="Q936" s="9">
        <v>25</v>
      </c>
      <c r="R936" s="9">
        <v>6</v>
      </c>
      <c r="S936" s="9">
        <v>19</v>
      </c>
      <c r="T936" s="9">
        <v>9</v>
      </c>
      <c r="U936" s="9">
        <v>0</v>
      </c>
      <c r="V936" s="9" t="s">
        <v>114</v>
      </c>
      <c r="W936" s="9">
        <v>0</v>
      </c>
      <c r="X936" s="9">
        <v>0</v>
      </c>
      <c r="Y936" s="9">
        <v>0</v>
      </c>
      <c r="Z936" s="9">
        <v>0</v>
      </c>
      <c r="AA936" s="9">
        <v>0</v>
      </c>
      <c r="AB936" s="9">
        <v>0</v>
      </c>
      <c r="AC936" s="9">
        <v>14</v>
      </c>
      <c r="AD936" s="9" t="s">
        <v>0</v>
      </c>
      <c r="AE936" s="9" t="s">
        <v>60</v>
      </c>
    </row>
    <row r="937" spans="1:31" ht="25.5" x14ac:dyDescent="0.2">
      <c r="A937" s="8" t="str">
        <f>HYPERLINK("http://www.patentics.cn/invokexml.do?sx=showpatent_cn&amp;sf=ShowPatent&amp;spn=CN101133648B&amp;sx=showpatent_cn&amp;sv=1f762fbf9551af7135d2af53581ba84d","CN101133648B")</f>
        <v>CN101133648B</v>
      </c>
      <c r="B937" s="9" t="s">
        <v>4704</v>
      </c>
      <c r="C937" s="9" t="s">
        <v>4705</v>
      </c>
      <c r="D937" s="9" t="s">
        <v>301</v>
      </c>
      <c r="E937" s="9" t="s">
        <v>301</v>
      </c>
      <c r="F937" s="9" t="s">
        <v>4706</v>
      </c>
      <c r="G937" s="9" t="s">
        <v>4707</v>
      </c>
      <c r="H937" s="9" t="s">
        <v>4708</v>
      </c>
      <c r="I937" s="9" t="s">
        <v>4709</v>
      </c>
      <c r="J937" s="9" t="s">
        <v>4710</v>
      </c>
      <c r="K937" s="9" t="s">
        <v>714</v>
      </c>
      <c r="L937" s="9" t="s">
        <v>4711</v>
      </c>
      <c r="M937" s="9">
        <v>31</v>
      </c>
      <c r="N937" s="9">
        <v>15</v>
      </c>
      <c r="O937" s="9" t="s">
        <v>57</v>
      </c>
      <c r="P937" s="9" t="s">
        <v>58</v>
      </c>
      <c r="Q937" s="9">
        <v>5</v>
      </c>
      <c r="R937" s="9">
        <v>0</v>
      </c>
      <c r="S937" s="9">
        <v>5</v>
      </c>
      <c r="T937" s="9">
        <v>5</v>
      </c>
      <c r="U937" s="9">
        <v>0</v>
      </c>
      <c r="V937" s="9" t="s">
        <v>114</v>
      </c>
      <c r="W937" s="9">
        <v>0</v>
      </c>
      <c r="X937" s="9">
        <v>0</v>
      </c>
      <c r="Y937" s="9">
        <v>0</v>
      </c>
      <c r="Z937" s="9">
        <v>0</v>
      </c>
      <c r="AA937" s="9">
        <v>12</v>
      </c>
      <c r="AB937" s="9">
        <v>7</v>
      </c>
      <c r="AC937" s="9">
        <v>14</v>
      </c>
      <c r="AD937" s="9" t="s">
        <v>0</v>
      </c>
      <c r="AE937" s="9" t="s">
        <v>60</v>
      </c>
    </row>
    <row r="938" spans="1:31" ht="25.5" x14ac:dyDescent="0.2">
      <c r="A938" s="6" t="str">
        <f>HYPERLINK("http://www.patentics.cn/invokexml.do?sx=showpatent_cn&amp;sf=ShowPatent&amp;spn=CN1462864&amp;sx=showpatent_cn&amp;sv=b7c9e66daf4a85a0e47560095bc411c2","CN1462864")</f>
        <v>CN1462864</v>
      </c>
      <c r="B938" s="7" t="s">
        <v>4712</v>
      </c>
      <c r="C938" s="7" t="s">
        <v>4713</v>
      </c>
      <c r="D938" s="7" t="s">
        <v>1341</v>
      </c>
      <c r="E938" s="7" t="s">
        <v>1341</v>
      </c>
      <c r="F938" s="7" t="s">
        <v>4714</v>
      </c>
      <c r="G938" s="7" t="s">
        <v>4715</v>
      </c>
      <c r="H938" s="7" t="s">
        <v>0</v>
      </c>
      <c r="I938" s="7" t="s">
        <v>4716</v>
      </c>
      <c r="J938" s="7" t="s">
        <v>4717</v>
      </c>
      <c r="K938" s="7" t="s">
        <v>4718</v>
      </c>
      <c r="L938" s="7" t="s">
        <v>4719</v>
      </c>
      <c r="M938" s="7">
        <v>2</v>
      </c>
      <c r="N938" s="7">
        <v>16</v>
      </c>
      <c r="O938" s="7" t="s">
        <v>42</v>
      </c>
      <c r="P938" s="7" t="s">
        <v>43</v>
      </c>
      <c r="Q938" s="7">
        <v>1</v>
      </c>
      <c r="R938" s="7">
        <v>0</v>
      </c>
      <c r="S938" s="7">
        <v>1</v>
      </c>
      <c r="T938" s="7">
        <v>1</v>
      </c>
      <c r="U938" s="7">
        <v>17</v>
      </c>
      <c r="V938" s="7" t="s">
        <v>4720</v>
      </c>
      <c r="W938" s="7">
        <v>0</v>
      </c>
      <c r="X938" s="7">
        <v>17</v>
      </c>
      <c r="Y938" s="7">
        <v>9</v>
      </c>
      <c r="Z938" s="7">
        <v>2</v>
      </c>
      <c r="AA938" s="7">
        <v>0</v>
      </c>
      <c r="AB938" s="7">
        <v>0</v>
      </c>
      <c r="AC938" s="7" t="s">
        <v>0</v>
      </c>
      <c r="AD938" s="7">
        <v>2</v>
      </c>
      <c r="AE938" s="7" t="s">
        <v>45</v>
      </c>
    </row>
    <row r="939" spans="1:31" ht="63.75" x14ac:dyDescent="0.2">
      <c r="A939" s="8" t="str">
        <f>HYPERLINK("http://www.patentics.cn/invokexml.do?sx=showpatent_cn&amp;sf=ShowPatent&amp;spn=US8861312&amp;sx=showpatent_cn&amp;sv=10bc26144bc722d6dbab7b9768b94bac","US8861312")</f>
        <v>US8861312</v>
      </c>
      <c r="B939" s="9" t="s">
        <v>4721</v>
      </c>
      <c r="C939" s="9" t="s">
        <v>4722</v>
      </c>
      <c r="D939" s="9" t="s">
        <v>48</v>
      </c>
      <c r="E939" s="9" t="s">
        <v>49</v>
      </c>
      <c r="F939" s="9" t="s">
        <v>4723</v>
      </c>
      <c r="G939" s="9" t="s">
        <v>4724</v>
      </c>
      <c r="H939" s="9" t="s">
        <v>2679</v>
      </c>
      <c r="I939" s="9" t="s">
        <v>4725</v>
      </c>
      <c r="J939" s="9" t="s">
        <v>3764</v>
      </c>
      <c r="K939" s="9" t="s">
        <v>1464</v>
      </c>
      <c r="L939" s="9" t="s">
        <v>4726</v>
      </c>
      <c r="M939" s="9">
        <v>16</v>
      </c>
      <c r="N939" s="9">
        <v>15</v>
      </c>
      <c r="O939" s="9" t="s">
        <v>57</v>
      </c>
      <c r="P939" s="9" t="s">
        <v>58</v>
      </c>
      <c r="Q939" s="9">
        <v>168</v>
      </c>
      <c r="R939" s="9">
        <v>3</v>
      </c>
      <c r="S939" s="9">
        <v>165</v>
      </c>
      <c r="T939" s="9">
        <v>95</v>
      </c>
      <c r="U939" s="9">
        <v>2</v>
      </c>
      <c r="V939" s="9" t="s">
        <v>490</v>
      </c>
      <c r="W939" s="9">
        <v>1</v>
      </c>
      <c r="X939" s="9">
        <v>1</v>
      </c>
      <c r="Y939" s="9">
        <v>2</v>
      </c>
      <c r="Z939" s="9">
        <v>1</v>
      </c>
      <c r="AA939" s="9">
        <v>19</v>
      </c>
      <c r="AB939" s="9">
        <v>10</v>
      </c>
      <c r="AC939" s="9">
        <v>14</v>
      </c>
      <c r="AD939" s="9" t="s">
        <v>0</v>
      </c>
      <c r="AE939" s="9" t="s">
        <v>60</v>
      </c>
    </row>
    <row r="940" spans="1:31" ht="38.25" x14ac:dyDescent="0.2">
      <c r="A940" s="8" t="str">
        <f>HYPERLINK("http://www.patentics.cn/invokexml.do?sx=showpatent_cn&amp;sf=ShowPatent&amp;spn=CN103399675B&amp;sx=showpatent_cn&amp;sv=a2d86d89f9ba265c09d4f30799234b40","CN103399675B")</f>
        <v>CN103399675B</v>
      </c>
      <c r="B940" s="9" t="s">
        <v>4727</v>
      </c>
      <c r="C940" s="9" t="s">
        <v>4728</v>
      </c>
      <c r="D940" s="9" t="s">
        <v>301</v>
      </c>
      <c r="E940" s="9" t="s">
        <v>301</v>
      </c>
      <c r="F940" s="9" t="s">
        <v>4729</v>
      </c>
      <c r="G940" s="9" t="s">
        <v>4730</v>
      </c>
      <c r="H940" s="9" t="s">
        <v>2679</v>
      </c>
      <c r="I940" s="9" t="s">
        <v>4725</v>
      </c>
      <c r="J940" s="9" t="s">
        <v>4340</v>
      </c>
      <c r="K940" s="9" t="s">
        <v>885</v>
      </c>
      <c r="L940" s="9" t="s">
        <v>4731</v>
      </c>
      <c r="M940" s="9">
        <v>19</v>
      </c>
      <c r="N940" s="9">
        <v>20</v>
      </c>
      <c r="O940" s="9" t="s">
        <v>57</v>
      </c>
      <c r="P940" s="9" t="s">
        <v>58</v>
      </c>
      <c r="Q940" s="9">
        <v>3</v>
      </c>
      <c r="R940" s="9">
        <v>0</v>
      </c>
      <c r="S940" s="9">
        <v>3</v>
      </c>
      <c r="T940" s="9">
        <v>2</v>
      </c>
      <c r="U940" s="9">
        <v>0</v>
      </c>
      <c r="V940" s="9" t="s">
        <v>114</v>
      </c>
      <c r="W940" s="9">
        <v>0</v>
      </c>
      <c r="X940" s="9">
        <v>0</v>
      </c>
      <c r="Y940" s="9">
        <v>0</v>
      </c>
      <c r="Z940" s="9">
        <v>0</v>
      </c>
      <c r="AA940" s="9">
        <v>19</v>
      </c>
      <c r="AB940" s="9">
        <v>10</v>
      </c>
      <c r="AC940" s="9">
        <v>14</v>
      </c>
      <c r="AD940" s="9" t="s">
        <v>0</v>
      </c>
      <c r="AE940" s="9" t="s">
        <v>60</v>
      </c>
    </row>
    <row r="941" spans="1:31" ht="51" x14ac:dyDescent="0.2">
      <c r="A941" s="6" t="str">
        <f>HYPERLINK("http://www.patentics.cn/invokexml.do?sx=showpatent_cn&amp;sf=ShowPatent&amp;spn=CN1450450&amp;sx=showpatent_cn&amp;sv=b679998846c621676f3f75c209ea70e0","CN1450450")</f>
        <v>CN1450450</v>
      </c>
      <c r="B941" s="7" t="s">
        <v>4732</v>
      </c>
      <c r="C941" s="7" t="s">
        <v>4733</v>
      </c>
      <c r="D941" s="7" t="s">
        <v>524</v>
      </c>
      <c r="E941" s="7" t="s">
        <v>524</v>
      </c>
      <c r="F941" s="7" t="s">
        <v>4734</v>
      </c>
      <c r="G941" s="7" t="s">
        <v>4735</v>
      </c>
      <c r="H941" s="7" t="s">
        <v>4736</v>
      </c>
      <c r="I941" s="7" t="s">
        <v>4736</v>
      </c>
      <c r="J941" s="7" t="s">
        <v>611</v>
      </c>
      <c r="K941" s="7" t="s">
        <v>885</v>
      </c>
      <c r="L941" s="7" t="s">
        <v>4737</v>
      </c>
      <c r="M941" s="7">
        <v>8</v>
      </c>
      <c r="N941" s="7">
        <v>29</v>
      </c>
      <c r="O941" s="7" t="s">
        <v>42</v>
      </c>
      <c r="P941" s="7" t="s">
        <v>43</v>
      </c>
      <c r="Q941" s="7">
        <v>0</v>
      </c>
      <c r="R941" s="7">
        <v>0</v>
      </c>
      <c r="S941" s="7">
        <v>0</v>
      </c>
      <c r="T941" s="7">
        <v>0</v>
      </c>
      <c r="U941" s="7">
        <v>13</v>
      </c>
      <c r="V941" s="7" t="s">
        <v>2369</v>
      </c>
      <c r="W941" s="7">
        <v>0</v>
      </c>
      <c r="X941" s="7">
        <v>13</v>
      </c>
      <c r="Y941" s="7">
        <v>9</v>
      </c>
      <c r="Z941" s="7">
        <v>2</v>
      </c>
      <c r="AA941" s="7">
        <v>1</v>
      </c>
      <c r="AB941" s="7">
        <v>1</v>
      </c>
      <c r="AC941" s="7" t="s">
        <v>0</v>
      </c>
      <c r="AD941" s="7">
        <v>2</v>
      </c>
      <c r="AE941" s="7" t="s">
        <v>532</v>
      </c>
    </row>
    <row r="942" spans="1:31" ht="63.75" x14ac:dyDescent="0.2">
      <c r="A942" s="8" t="str">
        <f>HYPERLINK("http://www.patentics.cn/invokexml.do?sx=showpatent_cn&amp;sf=ShowPatent&amp;spn=CN102591620B&amp;sx=showpatent_cn&amp;sv=16d890ccd85932b3c80618a538b2cf06","CN102591620B")</f>
        <v>CN102591620B</v>
      </c>
      <c r="B942" s="9" t="s">
        <v>4738</v>
      </c>
      <c r="C942" s="9" t="s">
        <v>4739</v>
      </c>
      <c r="D942" s="9" t="s">
        <v>301</v>
      </c>
      <c r="E942" s="9" t="s">
        <v>301</v>
      </c>
      <c r="F942" s="9" t="s">
        <v>4740</v>
      </c>
      <c r="G942" s="9" t="s">
        <v>4741</v>
      </c>
      <c r="H942" s="9" t="s">
        <v>4678</v>
      </c>
      <c r="I942" s="9" t="s">
        <v>4742</v>
      </c>
      <c r="J942" s="9" t="s">
        <v>1184</v>
      </c>
      <c r="K942" s="9" t="s">
        <v>885</v>
      </c>
      <c r="L942" s="9" t="s">
        <v>4737</v>
      </c>
      <c r="M942" s="9">
        <v>1</v>
      </c>
      <c r="N942" s="9">
        <v>12</v>
      </c>
      <c r="O942" s="9" t="s">
        <v>57</v>
      </c>
      <c r="P942" s="9" t="s">
        <v>58</v>
      </c>
      <c r="Q942" s="9">
        <v>3</v>
      </c>
      <c r="R942" s="9">
        <v>1</v>
      </c>
      <c r="S942" s="9">
        <v>2</v>
      </c>
      <c r="T942" s="9">
        <v>3</v>
      </c>
      <c r="U942" s="9">
        <v>0</v>
      </c>
      <c r="V942" s="9" t="s">
        <v>114</v>
      </c>
      <c r="W942" s="9">
        <v>0</v>
      </c>
      <c r="X942" s="9">
        <v>0</v>
      </c>
      <c r="Y942" s="9">
        <v>0</v>
      </c>
      <c r="Z942" s="9">
        <v>0</v>
      </c>
      <c r="AA942" s="9">
        <v>21</v>
      </c>
      <c r="AB942" s="9">
        <v>12</v>
      </c>
      <c r="AC942" s="9">
        <v>14</v>
      </c>
      <c r="AD942" s="9" t="s">
        <v>0</v>
      </c>
      <c r="AE942" s="9" t="s">
        <v>60</v>
      </c>
    </row>
    <row r="943" spans="1:31" ht="216.75" x14ac:dyDescent="0.2">
      <c r="A943" s="8" t="str">
        <f>HYPERLINK("http://www.patentics.cn/invokexml.do?sx=showpatent_cn&amp;sf=ShowPatent&amp;spn=CN101501650B&amp;sx=showpatent_cn&amp;sv=d0d57d843c5e6bac77974ee10d6ce54f","CN101501650B")</f>
        <v>CN101501650B</v>
      </c>
      <c r="B943" s="9" t="s">
        <v>4743</v>
      </c>
      <c r="C943" s="9" t="s">
        <v>4744</v>
      </c>
      <c r="D943" s="9" t="s">
        <v>301</v>
      </c>
      <c r="E943" s="9" t="s">
        <v>301</v>
      </c>
      <c r="F943" s="9" t="s">
        <v>4745</v>
      </c>
      <c r="G943" s="9" t="s">
        <v>4746</v>
      </c>
      <c r="H943" s="9" t="s">
        <v>4747</v>
      </c>
      <c r="I943" s="9" t="s">
        <v>4748</v>
      </c>
      <c r="J943" s="9" t="s">
        <v>4024</v>
      </c>
      <c r="K943" s="9" t="s">
        <v>885</v>
      </c>
      <c r="L943" s="9" t="s">
        <v>4749</v>
      </c>
      <c r="M943" s="9">
        <v>26</v>
      </c>
      <c r="N943" s="9">
        <v>12</v>
      </c>
      <c r="O943" s="9" t="s">
        <v>57</v>
      </c>
      <c r="P943" s="9" t="s">
        <v>58</v>
      </c>
      <c r="Q943" s="9">
        <v>3</v>
      </c>
      <c r="R943" s="9">
        <v>0</v>
      </c>
      <c r="S943" s="9">
        <v>3</v>
      </c>
      <c r="T943" s="9">
        <v>3</v>
      </c>
      <c r="U943" s="9">
        <v>0</v>
      </c>
      <c r="V943" s="9" t="s">
        <v>114</v>
      </c>
      <c r="W943" s="9">
        <v>0</v>
      </c>
      <c r="X943" s="9">
        <v>0</v>
      </c>
      <c r="Y943" s="9">
        <v>0</v>
      </c>
      <c r="Z943" s="9">
        <v>0</v>
      </c>
      <c r="AA943" s="9">
        <v>23</v>
      </c>
      <c r="AB943" s="9">
        <v>13</v>
      </c>
      <c r="AC943" s="9">
        <v>14</v>
      </c>
      <c r="AD943" s="9" t="s">
        <v>0</v>
      </c>
      <c r="AE943" s="9" t="s">
        <v>60</v>
      </c>
    </row>
    <row r="944" spans="1:31" ht="51" x14ac:dyDescent="0.2">
      <c r="A944" s="6" t="str">
        <f>HYPERLINK("http://www.patentics.cn/invokexml.do?sx=showpatent_cn&amp;sf=ShowPatent&amp;spn=CN1447528&amp;sx=showpatent_cn&amp;sv=03be8035d588cb5984861514a778bbcc","CN1447528")</f>
        <v>CN1447528</v>
      </c>
      <c r="B944" s="7" t="s">
        <v>4750</v>
      </c>
      <c r="C944" s="7" t="s">
        <v>4751</v>
      </c>
      <c r="D944" s="7" t="s">
        <v>1383</v>
      </c>
      <c r="E944" s="7" t="s">
        <v>1383</v>
      </c>
      <c r="F944" s="7" t="s">
        <v>4752</v>
      </c>
      <c r="G944" s="7" t="s">
        <v>4753</v>
      </c>
      <c r="H944" s="7" t="s">
        <v>4754</v>
      </c>
      <c r="I944" s="7" t="s">
        <v>4754</v>
      </c>
      <c r="J944" s="7" t="s">
        <v>4755</v>
      </c>
      <c r="K944" s="7" t="s">
        <v>1529</v>
      </c>
      <c r="L944" s="7" t="s">
        <v>3063</v>
      </c>
      <c r="M944" s="7">
        <v>2</v>
      </c>
      <c r="N944" s="7">
        <v>12</v>
      </c>
      <c r="O944" s="7" t="s">
        <v>42</v>
      </c>
      <c r="P944" s="7" t="s">
        <v>43</v>
      </c>
      <c r="Q944" s="7">
        <v>0</v>
      </c>
      <c r="R944" s="7">
        <v>0</v>
      </c>
      <c r="S944" s="7">
        <v>0</v>
      </c>
      <c r="T944" s="7">
        <v>0</v>
      </c>
      <c r="U944" s="7">
        <v>5</v>
      </c>
      <c r="V944" s="7" t="s">
        <v>4756</v>
      </c>
      <c r="W944" s="7">
        <v>0</v>
      </c>
      <c r="X944" s="7">
        <v>5</v>
      </c>
      <c r="Y944" s="7">
        <v>4</v>
      </c>
      <c r="Z944" s="7">
        <v>1</v>
      </c>
      <c r="AA944" s="7">
        <v>1</v>
      </c>
      <c r="AB944" s="7">
        <v>1</v>
      </c>
      <c r="AC944" s="7" t="s">
        <v>0</v>
      </c>
      <c r="AD944" s="7">
        <v>2</v>
      </c>
      <c r="AE944" s="7" t="s">
        <v>532</v>
      </c>
    </row>
    <row r="945" spans="1:31" ht="25.5" x14ac:dyDescent="0.2">
      <c r="A945" s="8" t="str">
        <f>HYPERLINK("http://www.patentics.cn/invokexml.do?sx=showpatent_cn&amp;sf=ShowPatent&amp;spn=CN101834615B&amp;sx=showpatent_cn&amp;sv=3028f3c88d2c4c397cd2f6d316c75d76","CN101834615B")</f>
        <v>CN101834615B</v>
      </c>
      <c r="B945" s="9" t="s">
        <v>3080</v>
      </c>
      <c r="C945" s="9" t="s">
        <v>3081</v>
      </c>
      <c r="D945" s="9" t="s">
        <v>3082</v>
      </c>
      <c r="E945" s="9" t="s">
        <v>301</v>
      </c>
      <c r="F945" s="9" t="s">
        <v>3083</v>
      </c>
      <c r="G945" s="9" t="s">
        <v>3084</v>
      </c>
      <c r="H945" s="9" t="s">
        <v>3085</v>
      </c>
      <c r="I945" s="9" t="s">
        <v>3085</v>
      </c>
      <c r="J945" s="9" t="s">
        <v>1751</v>
      </c>
      <c r="K945" s="9" t="s">
        <v>1529</v>
      </c>
      <c r="L945" s="9" t="s">
        <v>3086</v>
      </c>
      <c r="M945" s="9">
        <v>3</v>
      </c>
      <c r="N945" s="9">
        <v>35</v>
      </c>
      <c r="O945" s="9" t="s">
        <v>57</v>
      </c>
      <c r="P945" s="9" t="s">
        <v>43</v>
      </c>
      <c r="Q945" s="9">
        <v>4</v>
      </c>
      <c r="R945" s="9">
        <v>0</v>
      </c>
      <c r="S945" s="9">
        <v>4</v>
      </c>
      <c r="T945" s="9">
        <v>3</v>
      </c>
      <c r="U945" s="9">
        <v>0</v>
      </c>
      <c r="V945" s="9" t="s">
        <v>114</v>
      </c>
      <c r="W945" s="9">
        <v>0</v>
      </c>
      <c r="X945" s="9">
        <v>0</v>
      </c>
      <c r="Y945" s="9">
        <v>0</v>
      </c>
      <c r="Z945" s="9">
        <v>0</v>
      </c>
      <c r="AA945" s="9">
        <v>1</v>
      </c>
      <c r="AB945" s="9">
        <v>1</v>
      </c>
      <c r="AC945" s="9">
        <v>14</v>
      </c>
      <c r="AD945" s="9" t="s">
        <v>0</v>
      </c>
      <c r="AE945" s="9" t="s">
        <v>532</v>
      </c>
    </row>
    <row r="946" spans="1:31" ht="25.5" x14ac:dyDescent="0.2">
      <c r="A946" s="8" t="str">
        <f>HYPERLINK("http://www.patentics.cn/invokexml.do?sx=showpatent_cn&amp;sf=ShowPatent&amp;spn=CN101834616B&amp;sx=showpatent_cn&amp;sv=3e24d7596db101d08caf7d47f987f0ea","CN101834616B")</f>
        <v>CN101834616B</v>
      </c>
      <c r="B946" s="9" t="s">
        <v>4757</v>
      </c>
      <c r="C946" s="9" t="s">
        <v>4758</v>
      </c>
      <c r="D946" s="9" t="s">
        <v>3082</v>
      </c>
      <c r="E946" s="9" t="s">
        <v>301</v>
      </c>
      <c r="F946" s="9" t="s">
        <v>4759</v>
      </c>
      <c r="G946" s="9" t="s">
        <v>4760</v>
      </c>
      <c r="H946" s="9" t="s">
        <v>3085</v>
      </c>
      <c r="I946" s="9" t="s">
        <v>3085</v>
      </c>
      <c r="J946" s="9" t="s">
        <v>729</v>
      </c>
      <c r="K946" s="9" t="s">
        <v>1529</v>
      </c>
      <c r="L946" s="9" t="s">
        <v>3086</v>
      </c>
      <c r="M946" s="9">
        <v>4</v>
      </c>
      <c r="N946" s="9">
        <v>42</v>
      </c>
      <c r="O946" s="9" t="s">
        <v>57</v>
      </c>
      <c r="P946" s="9" t="s">
        <v>43</v>
      </c>
      <c r="Q946" s="9">
        <v>3</v>
      </c>
      <c r="R946" s="9">
        <v>0</v>
      </c>
      <c r="S946" s="9">
        <v>3</v>
      </c>
      <c r="T946" s="9">
        <v>2</v>
      </c>
      <c r="U946" s="9">
        <v>0</v>
      </c>
      <c r="V946" s="9" t="s">
        <v>114</v>
      </c>
      <c r="W946" s="9">
        <v>0</v>
      </c>
      <c r="X946" s="9">
        <v>0</v>
      </c>
      <c r="Y946" s="9">
        <v>0</v>
      </c>
      <c r="Z946" s="9">
        <v>0</v>
      </c>
      <c r="AA946" s="9">
        <v>1</v>
      </c>
      <c r="AB946" s="9">
        <v>1</v>
      </c>
      <c r="AC946" s="9">
        <v>14</v>
      </c>
      <c r="AD946" s="9" t="s">
        <v>0</v>
      </c>
      <c r="AE946" s="9" t="s">
        <v>532</v>
      </c>
    </row>
    <row r="947" spans="1:31" ht="25.5" x14ac:dyDescent="0.2">
      <c r="A947" s="6" t="str">
        <f>HYPERLINK("http://www.patentics.cn/invokexml.do?sx=showpatent_cn&amp;sf=ShowPatent&amp;spn=CN1424712&amp;sx=showpatent_cn&amp;sv=8b6e635051e02ff0463d19fedebaa820","CN1424712")</f>
        <v>CN1424712</v>
      </c>
      <c r="B947" s="7" t="s">
        <v>4761</v>
      </c>
      <c r="C947" s="7" t="s">
        <v>4762</v>
      </c>
      <c r="D947" s="7" t="s">
        <v>2653</v>
      </c>
      <c r="E947" s="7" t="s">
        <v>2653</v>
      </c>
      <c r="F947" s="7" t="s">
        <v>1575</v>
      </c>
      <c r="G947" s="7" t="s">
        <v>1575</v>
      </c>
      <c r="H947" s="7" t="s">
        <v>4763</v>
      </c>
      <c r="I947" s="7" t="s">
        <v>4763</v>
      </c>
      <c r="J947" s="7" t="s">
        <v>4764</v>
      </c>
      <c r="K947" s="7" t="s">
        <v>1486</v>
      </c>
      <c r="L947" s="7" t="s">
        <v>1487</v>
      </c>
      <c r="M947" s="7">
        <v>3</v>
      </c>
      <c r="N947" s="7">
        <v>143</v>
      </c>
      <c r="O947" s="7" t="s">
        <v>42</v>
      </c>
      <c r="P947" s="7" t="s">
        <v>43</v>
      </c>
      <c r="Q947" s="7">
        <v>0</v>
      </c>
      <c r="R947" s="7">
        <v>0</v>
      </c>
      <c r="S947" s="7">
        <v>0</v>
      </c>
      <c r="T947" s="7">
        <v>0</v>
      </c>
      <c r="U947" s="7">
        <v>20</v>
      </c>
      <c r="V947" s="7" t="s">
        <v>4765</v>
      </c>
      <c r="W947" s="7">
        <v>0</v>
      </c>
      <c r="X947" s="7">
        <v>20</v>
      </c>
      <c r="Y947" s="7">
        <v>10</v>
      </c>
      <c r="Z947" s="7">
        <v>3</v>
      </c>
      <c r="AA947" s="7">
        <v>1</v>
      </c>
      <c r="AB947" s="7">
        <v>1</v>
      </c>
      <c r="AC947" s="7" t="s">
        <v>0</v>
      </c>
      <c r="AD947" s="7">
        <v>2</v>
      </c>
      <c r="AE947" s="7" t="s">
        <v>532</v>
      </c>
    </row>
    <row r="948" spans="1:31" ht="63.75" x14ac:dyDescent="0.2">
      <c r="A948" s="8" t="str">
        <f>HYPERLINK("http://www.patentics.cn/invokexml.do?sx=showpatent_cn&amp;sf=ShowPatent&amp;spn=CN101180677B&amp;sx=showpatent_cn&amp;sv=d563bb049bc6910bff77cebfe18726e4","CN101180677B")</f>
        <v>CN101180677B</v>
      </c>
      <c r="B948" s="9" t="s">
        <v>4766</v>
      </c>
      <c r="C948" s="9" t="s">
        <v>4767</v>
      </c>
      <c r="D948" s="9" t="s">
        <v>301</v>
      </c>
      <c r="E948" s="9" t="s">
        <v>301</v>
      </c>
      <c r="F948" s="9" t="s">
        <v>4768</v>
      </c>
      <c r="G948" s="9" t="s">
        <v>4769</v>
      </c>
      <c r="H948" s="9" t="s">
        <v>234</v>
      </c>
      <c r="I948" s="9" t="s">
        <v>4770</v>
      </c>
      <c r="J948" s="9" t="s">
        <v>4771</v>
      </c>
      <c r="K948" s="9" t="s">
        <v>1486</v>
      </c>
      <c r="L948" s="9" t="s">
        <v>2641</v>
      </c>
      <c r="M948" s="9">
        <v>39</v>
      </c>
      <c r="N948" s="9">
        <v>16</v>
      </c>
      <c r="O948" s="9" t="s">
        <v>57</v>
      </c>
      <c r="P948" s="9" t="s">
        <v>58</v>
      </c>
      <c r="Q948" s="9">
        <v>10</v>
      </c>
      <c r="R948" s="9">
        <v>1</v>
      </c>
      <c r="S948" s="9">
        <v>9</v>
      </c>
      <c r="T948" s="9">
        <v>9</v>
      </c>
      <c r="U948" s="9">
        <v>2</v>
      </c>
      <c r="V948" s="9" t="s">
        <v>114</v>
      </c>
      <c r="W948" s="9">
        <v>0</v>
      </c>
      <c r="X948" s="9">
        <v>2</v>
      </c>
      <c r="Y948" s="9">
        <v>0</v>
      </c>
      <c r="Z948" s="9">
        <v>1</v>
      </c>
      <c r="AA948" s="9">
        <v>220</v>
      </c>
      <c r="AB948" s="9">
        <v>24</v>
      </c>
      <c r="AC948" s="9">
        <v>14</v>
      </c>
      <c r="AD948" s="9" t="s">
        <v>0</v>
      </c>
      <c r="AE948" s="9" t="s">
        <v>60</v>
      </c>
    </row>
    <row r="949" spans="1:31" ht="25.5" x14ac:dyDescent="0.2">
      <c r="A949" s="8" t="str">
        <f>HYPERLINK("http://www.patentics.cn/invokexml.do?sx=showpatent_cn&amp;sf=ShowPatent&amp;spn=CN101180676B&amp;sx=showpatent_cn&amp;sv=2886de86d294d5323bbaa1dcace4eb73","CN101180676B")</f>
        <v>CN101180676B</v>
      </c>
      <c r="B949" s="9" t="s">
        <v>4772</v>
      </c>
      <c r="C949" s="9" t="s">
        <v>4773</v>
      </c>
      <c r="D949" s="9" t="s">
        <v>301</v>
      </c>
      <c r="E949" s="9" t="s">
        <v>301</v>
      </c>
      <c r="F949" s="9" t="s">
        <v>4769</v>
      </c>
      <c r="G949" s="9" t="s">
        <v>4769</v>
      </c>
      <c r="H949" s="9" t="s">
        <v>234</v>
      </c>
      <c r="I949" s="9" t="s">
        <v>4770</v>
      </c>
      <c r="J949" s="9" t="s">
        <v>3378</v>
      </c>
      <c r="K949" s="9" t="s">
        <v>1486</v>
      </c>
      <c r="L949" s="9" t="s">
        <v>4774</v>
      </c>
      <c r="M949" s="9">
        <v>30</v>
      </c>
      <c r="N949" s="9">
        <v>14</v>
      </c>
      <c r="O949" s="9" t="s">
        <v>57</v>
      </c>
      <c r="P949" s="9" t="s">
        <v>58</v>
      </c>
      <c r="Q949" s="9">
        <v>4</v>
      </c>
      <c r="R949" s="9">
        <v>1</v>
      </c>
      <c r="S949" s="9">
        <v>3</v>
      </c>
      <c r="T949" s="9">
        <v>4</v>
      </c>
      <c r="U949" s="9">
        <v>2</v>
      </c>
      <c r="V949" s="9" t="s">
        <v>114</v>
      </c>
      <c r="W949" s="9">
        <v>0</v>
      </c>
      <c r="X949" s="9">
        <v>2</v>
      </c>
      <c r="Y949" s="9">
        <v>0</v>
      </c>
      <c r="Z949" s="9">
        <v>1</v>
      </c>
      <c r="AA949" s="9">
        <v>220</v>
      </c>
      <c r="AB949" s="9">
        <v>24</v>
      </c>
      <c r="AC949" s="9">
        <v>14</v>
      </c>
      <c r="AD949" s="9" t="s">
        <v>0</v>
      </c>
      <c r="AE949" s="9" t="s">
        <v>60</v>
      </c>
    </row>
    <row r="950" spans="1:31" ht="38.25" x14ac:dyDescent="0.2">
      <c r="A950" s="6" t="str">
        <f>HYPERLINK("http://www.patentics.cn/invokexml.do?sx=showpatent_cn&amp;sf=ShowPatent&amp;spn=CN1407702&amp;sx=showpatent_cn&amp;sv=ae7a26811506d7ff8feacd6b74a6a185","CN1407702")</f>
        <v>CN1407702</v>
      </c>
      <c r="B950" s="7" t="s">
        <v>4775</v>
      </c>
      <c r="C950" s="7" t="s">
        <v>4776</v>
      </c>
      <c r="D950" s="7" t="s">
        <v>4777</v>
      </c>
      <c r="E950" s="7" t="s">
        <v>4777</v>
      </c>
      <c r="F950" s="7" t="s">
        <v>4778</v>
      </c>
      <c r="G950" s="7" t="s">
        <v>4779</v>
      </c>
      <c r="H950" s="7" t="s">
        <v>4780</v>
      </c>
      <c r="I950" s="7" t="s">
        <v>4781</v>
      </c>
      <c r="J950" s="7" t="s">
        <v>4782</v>
      </c>
      <c r="K950" s="7" t="s">
        <v>3123</v>
      </c>
      <c r="L950" s="7" t="s">
        <v>4783</v>
      </c>
      <c r="M950" s="7">
        <v>14</v>
      </c>
      <c r="N950" s="7">
        <v>16</v>
      </c>
      <c r="O950" s="7" t="s">
        <v>42</v>
      </c>
      <c r="P950" s="7" t="s">
        <v>58</v>
      </c>
      <c r="Q950" s="7">
        <v>1</v>
      </c>
      <c r="R950" s="7">
        <v>0</v>
      </c>
      <c r="S950" s="7">
        <v>1</v>
      </c>
      <c r="T950" s="7">
        <v>0</v>
      </c>
      <c r="U950" s="7">
        <v>10</v>
      </c>
      <c r="V950" s="7" t="s">
        <v>4784</v>
      </c>
      <c r="W950" s="7">
        <v>2</v>
      </c>
      <c r="X950" s="7">
        <v>8</v>
      </c>
      <c r="Y950" s="7">
        <v>6</v>
      </c>
      <c r="Z950" s="7">
        <v>3</v>
      </c>
      <c r="AA950" s="7">
        <v>7</v>
      </c>
      <c r="AB950" s="7">
        <v>4</v>
      </c>
      <c r="AC950" s="7" t="s">
        <v>0</v>
      </c>
      <c r="AD950" s="7">
        <v>2</v>
      </c>
      <c r="AE950" s="7" t="s">
        <v>60</v>
      </c>
    </row>
    <row r="951" spans="1:31" ht="51" x14ac:dyDescent="0.2">
      <c r="A951" s="8" t="str">
        <f>HYPERLINK("http://www.patentics.cn/invokexml.do?sx=showpatent_cn&amp;sf=ShowPatent&amp;spn=US9350303&amp;sx=showpatent_cn&amp;sv=0b1d068248d35e3b8666bf8456ed53a4","US9350303")</f>
        <v>US9350303</v>
      </c>
      <c r="B951" s="9" t="s">
        <v>4785</v>
      </c>
      <c r="C951" s="9" t="s">
        <v>4786</v>
      </c>
      <c r="D951" s="9" t="s">
        <v>48</v>
      </c>
      <c r="E951" s="9" t="s">
        <v>49</v>
      </c>
      <c r="F951" s="9" t="s">
        <v>4787</v>
      </c>
      <c r="G951" s="9" t="s">
        <v>4788</v>
      </c>
      <c r="H951" s="9" t="s">
        <v>4789</v>
      </c>
      <c r="I951" s="9" t="s">
        <v>4790</v>
      </c>
      <c r="J951" s="9" t="s">
        <v>843</v>
      </c>
      <c r="K951" s="9" t="s">
        <v>540</v>
      </c>
      <c r="L951" s="9" t="s">
        <v>4791</v>
      </c>
      <c r="M951" s="9">
        <v>10</v>
      </c>
      <c r="N951" s="9">
        <v>8</v>
      </c>
      <c r="O951" s="9" t="s">
        <v>57</v>
      </c>
      <c r="P951" s="9" t="s">
        <v>58</v>
      </c>
      <c r="Q951" s="9">
        <v>50</v>
      </c>
      <c r="R951" s="9">
        <v>2</v>
      </c>
      <c r="S951" s="9">
        <v>48</v>
      </c>
      <c r="T951" s="9">
        <v>35</v>
      </c>
      <c r="U951" s="9">
        <v>0</v>
      </c>
      <c r="V951" s="9" t="s">
        <v>114</v>
      </c>
      <c r="W951" s="9">
        <v>0</v>
      </c>
      <c r="X951" s="9">
        <v>0</v>
      </c>
      <c r="Y951" s="9">
        <v>0</v>
      </c>
      <c r="Z951" s="9">
        <v>0</v>
      </c>
      <c r="AA951" s="9">
        <v>23</v>
      </c>
      <c r="AB951" s="9">
        <v>9</v>
      </c>
      <c r="AC951" s="9">
        <v>14</v>
      </c>
      <c r="AD951" s="9" t="s">
        <v>0</v>
      </c>
      <c r="AE951" s="9" t="s">
        <v>60</v>
      </c>
    </row>
    <row r="952" spans="1:31" ht="38.25" x14ac:dyDescent="0.2">
      <c r="A952" s="8" t="str">
        <f>HYPERLINK("http://www.patentics.cn/invokexml.do?sx=showpatent_cn&amp;sf=ShowPatent&amp;spn=CN102783018B&amp;sx=showpatent_cn&amp;sv=48fcc256813de422b73797f2edcedcaa","CN102783018B")</f>
        <v>CN102783018B</v>
      </c>
      <c r="B952" s="9" t="s">
        <v>4792</v>
      </c>
      <c r="C952" s="9" t="s">
        <v>4793</v>
      </c>
      <c r="D952" s="9" t="s">
        <v>301</v>
      </c>
      <c r="E952" s="9" t="s">
        <v>301</v>
      </c>
      <c r="F952" s="9" t="s">
        <v>4794</v>
      </c>
      <c r="G952" s="9" t="s">
        <v>4795</v>
      </c>
      <c r="H952" s="9" t="s">
        <v>4789</v>
      </c>
      <c r="I952" s="9" t="s">
        <v>4796</v>
      </c>
      <c r="J952" s="9" t="s">
        <v>2154</v>
      </c>
      <c r="K952" s="9" t="s">
        <v>1993</v>
      </c>
      <c r="L952" s="9" t="s">
        <v>2001</v>
      </c>
      <c r="M952" s="9">
        <v>45</v>
      </c>
      <c r="N952" s="9">
        <v>20</v>
      </c>
      <c r="O952" s="9" t="s">
        <v>57</v>
      </c>
      <c r="P952" s="9" t="s">
        <v>58</v>
      </c>
      <c r="Q952" s="9">
        <v>6</v>
      </c>
      <c r="R952" s="9">
        <v>0</v>
      </c>
      <c r="S952" s="9">
        <v>6</v>
      </c>
      <c r="T952" s="9">
        <v>6</v>
      </c>
      <c r="U952" s="9">
        <v>0</v>
      </c>
      <c r="V952" s="9" t="s">
        <v>114</v>
      </c>
      <c r="W952" s="9">
        <v>0</v>
      </c>
      <c r="X952" s="9">
        <v>0</v>
      </c>
      <c r="Y952" s="9">
        <v>0</v>
      </c>
      <c r="Z952" s="9">
        <v>0</v>
      </c>
      <c r="AA952" s="9">
        <v>23</v>
      </c>
      <c r="AB952" s="9">
        <v>9</v>
      </c>
      <c r="AC952" s="9">
        <v>14</v>
      </c>
      <c r="AD952" s="9" t="s">
        <v>0</v>
      </c>
      <c r="AE952" s="9" t="s">
        <v>60</v>
      </c>
    </row>
    <row r="953" spans="1:31" ht="51" x14ac:dyDescent="0.2">
      <c r="A953" s="6" t="str">
        <f>HYPERLINK("http://www.patentics.cn/invokexml.do?sx=showpatent_cn&amp;sf=ShowPatent&amp;spn=CN1404309&amp;sx=showpatent_cn&amp;sv=ace5ed36a6767e603189062b7cdda586","CN1404309")</f>
        <v>CN1404309</v>
      </c>
      <c r="B953" s="7" t="s">
        <v>4797</v>
      </c>
      <c r="C953" s="7" t="s">
        <v>4798</v>
      </c>
      <c r="D953" s="7" t="s">
        <v>1341</v>
      </c>
      <c r="E953" s="7" t="s">
        <v>1341</v>
      </c>
      <c r="F953" s="7" t="s">
        <v>4799</v>
      </c>
      <c r="G953" s="7" t="s">
        <v>4800</v>
      </c>
      <c r="H953" s="7" t="s">
        <v>4801</v>
      </c>
      <c r="I953" s="7" t="s">
        <v>4801</v>
      </c>
      <c r="J953" s="7" t="s">
        <v>4802</v>
      </c>
      <c r="K953" s="7" t="s">
        <v>714</v>
      </c>
      <c r="L953" s="7" t="s">
        <v>4803</v>
      </c>
      <c r="M953" s="7">
        <v>2</v>
      </c>
      <c r="N953" s="7">
        <v>43</v>
      </c>
      <c r="O953" s="7" t="s">
        <v>42</v>
      </c>
      <c r="P953" s="7" t="s">
        <v>43</v>
      </c>
      <c r="Q953" s="7">
        <v>0</v>
      </c>
      <c r="R953" s="7">
        <v>0</v>
      </c>
      <c r="S953" s="7">
        <v>0</v>
      </c>
      <c r="T953" s="7">
        <v>0</v>
      </c>
      <c r="U953" s="7">
        <v>11</v>
      </c>
      <c r="V953" s="7" t="s">
        <v>4804</v>
      </c>
      <c r="W953" s="7">
        <v>0</v>
      </c>
      <c r="X953" s="7">
        <v>11</v>
      </c>
      <c r="Y953" s="7">
        <v>7</v>
      </c>
      <c r="Z953" s="7">
        <v>3</v>
      </c>
      <c r="AA953" s="7">
        <v>1</v>
      </c>
      <c r="AB953" s="7">
        <v>1</v>
      </c>
      <c r="AC953" s="7" t="s">
        <v>0</v>
      </c>
      <c r="AD953" s="7">
        <v>2</v>
      </c>
      <c r="AE953" s="7" t="s">
        <v>532</v>
      </c>
    </row>
    <row r="954" spans="1:31" ht="76.5" x14ac:dyDescent="0.2">
      <c r="A954" s="8" t="str">
        <f>HYPERLINK("http://www.patentics.cn/invokexml.do?sx=showpatent_cn&amp;sf=ShowPatent&amp;spn=CN100516908C&amp;sx=showpatent_cn&amp;sv=8ca9f8d8dad7333bbc4d5724dfd8bb15","CN100516908C")</f>
        <v>CN100516908C</v>
      </c>
      <c r="B954" s="9" t="s">
        <v>4805</v>
      </c>
      <c r="C954" s="9" t="s">
        <v>4806</v>
      </c>
      <c r="D954" s="9" t="s">
        <v>301</v>
      </c>
      <c r="E954" s="9" t="s">
        <v>301</v>
      </c>
      <c r="F954" s="9" t="s">
        <v>4807</v>
      </c>
      <c r="G954" s="9" t="s">
        <v>4808</v>
      </c>
      <c r="H954" s="9" t="s">
        <v>4809</v>
      </c>
      <c r="I954" s="9" t="s">
        <v>4810</v>
      </c>
      <c r="J954" s="9" t="s">
        <v>4811</v>
      </c>
      <c r="K954" s="9" t="s">
        <v>2217</v>
      </c>
      <c r="L954" s="9" t="s">
        <v>3956</v>
      </c>
      <c r="M954" s="9">
        <v>31</v>
      </c>
      <c r="N954" s="9">
        <v>9</v>
      </c>
      <c r="O954" s="9" t="s">
        <v>57</v>
      </c>
      <c r="P954" s="9" t="s">
        <v>58</v>
      </c>
      <c r="Q954" s="9">
        <v>5</v>
      </c>
      <c r="R954" s="9">
        <v>0</v>
      </c>
      <c r="S954" s="9">
        <v>5</v>
      </c>
      <c r="T954" s="9">
        <v>4</v>
      </c>
      <c r="U954" s="9">
        <v>0</v>
      </c>
      <c r="V954" s="9" t="s">
        <v>114</v>
      </c>
      <c r="W954" s="9">
        <v>0</v>
      </c>
      <c r="X954" s="9">
        <v>0</v>
      </c>
      <c r="Y954" s="9">
        <v>0</v>
      </c>
      <c r="Z954" s="9">
        <v>0</v>
      </c>
      <c r="AA954" s="9">
        <v>26</v>
      </c>
      <c r="AB954" s="9">
        <v>14</v>
      </c>
      <c r="AC954" s="9">
        <v>14</v>
      </c>
      <c r="AD954" s="9" t="s">
        <v>0</v>
      </c>
      <c r="AE954" s="9" t="s">
        <v>60</v>
      </c>
    </row>
    <row r="955" spans="1:31" ht="63.75" x14ac:dyDescent="0.2">
      <c r="A955" s="8" t="str">
        <f>HYPERLINK("http://www.patentics.cn/invokexml.do?sx=showpatent_cn&amp;sf=ShowPatent&amp;spn=CN102273164B&amp;sx=showpatent_cn&amp;sv=6bf9d8f7ca880ec3f8b63a13dc9d86ff","CN102273164B")</f>
        <v>CN102273164B</v>
      </c>
      <c r="B955" s="9" t="s">
        <v>4812</v>
      </c>
      <c r="C955" s="9" t="s">
        <v>4813</v>
      </c>
      <c r="D955" s="9" t="s">
        <v>301</v>
      </c>
      <c r="E955" s="9" t="s">
        <v>301</v>
      </c>
      <c r="F955" s="9" t="s">
        <v>4814</v>
      </c>
      <c r="G955" s="9" t="s">
        <v>4815</v>
      </c>
      <c r="H955" s="9" t="s">
        <v>4816</v>
      </c>
      <c r="I955" s="9" t="s">
        <v>4817</v>
      </c>
      <c r="J955" s="9" t="s">
        <v>4818</v>
      </c>
      <c r="K955" s="9" t="s">
        <v>68</v>
      </c>
      <c r="L955" s="9" t="s">
        <v>281</v>
      </c>
      <c r="M955" s="9">
        <v>19</v>
      </c>
      <c r="N955" s="9">
        <v>13</v>
      </c>
      <c r="O955" s="9" t="s">
        <v>57</v>
      </c>
      <c r="P955" s="9" t="s">
        <v>58</v>
      </c>
      <c r="Q955" s="9">
        <v>2</v>
      </c>
      <c r="R955" s="9">
        <v>0</v>
      </c>
      <c r="S955" s="9">
        <v>2</v>
      </c>
      <c r="T955" s="9">
        <v>2</v>
      </c>
      <c r="U955" s="9">
        <v>0</v>
      </c>
      <c r="V955" s="9" t="s">
        <v>114</v>
      </c>
      <c r="W955" s="9">
        <v>0</v>
      </c>
      <c r="X955" s="9">
        <v>0</v>
      </c>
      <c r="Y955" s="9">
        <v>0</v>
      </c>
      <c r="Z955" s="9">
        <v>0</v>
      </c>
      <c r="AA955" s="9">
        <v>0</v>
      </c>
      <c r="AB955" s="9">
        <v>0</v>
      </c>
      <c r="AC955" s="9">
        <v>14</v>
      </c>
      <c r="AD955" s="9" t="s">
        <v>0</v>
      </c>
      <c r="AE955" s="9" t="s">
        <v>60</v>
      </c>
    </row>
    <row r="956" spans="1:31" ht="38.25" x14ac:dyDescent="0.2">
      <c r="A956" s="6" t="str">
        <f>HYPERLINK("http://www.patentics.cn/invokexml.do?sx=showpatent_cn&amp;sf=ShowPatent&amp;spn=CN1403953&amp;sx=showpatent_cn&amp;sv=ed8549e3c74f63c56d242651bdaa25b1","CN1403953")</f>
        <v>CN1403953</v>
      </c>
      <c r="B956" s="7" t="s">
        <v>4819</v>
      </c>
      <c r="C956" s="7" t="s">
        <v>4820</v>
      </c>
      <c r="D956" s="7" t="s">
        <v>923</v>
      </c>
      <c r="E956" s="7" t="s">
        <v>923</v>
      </c>
      <c r="F956" s="7" t="s">
        <v>4821</v>
      </c>
      <c r="G956" s="7" t="s">
        <v>4091</v>
      </c>
      <c r="H956" s="7" t="s">
        <v>4822</v>
      </c>
      <c r="I956" s="7" t="s">
        <v>4822</v>
      </c>
      <c r="J956" s="7" t="s">
        <v>4802</v>
      </c>
      <c r="K956" s="7" t="s">
        <v>885</v>
      </c>
      <c r="L956" s="7" t="s">
        <v>4823</v>
      </c>
      <c r="M956" s="7">
        <v>5</v>
      </c>
      <c r="N956" s="7">
        <v>17</v>
      </c>
      <c r="O956" s="7" t="s">
        <v>42</v>
      </c>
      <c r="P956" s="7" t="s">
        <v>43</v>
      </c>
      <c r="Q956" s="7">
        <v>0</v>
      </c>
      <c r="R956" s="7">
        <v>0</v>
      </c>
      <c r="S956" s="7">
        <v>0</v>
      </c>
      <c r="T956" s="7">
        <v>0</v>
      </c>
      <c r="U956" s="7">
        <v>9</v>
      </c>
      <c r="V956" s="7" t="s">
        <v>4535</v>
      </c>
      <c r="W956" s="7">
        <v>0</v>
      </c>
      <c r="X956" s="7">
        <v>9</v>
      </c>
      <c r="Y956" s="7">
        <v>6</v>
      </c>
      <c r="Z956" s="7">
        <v>2</v>
      </c>
      <c r="AA956" s="7">
        <v>1</v>
      </c>
      <c r="AB956" s="7">
        <v>1</v>
      </c>
      <c r="AC956" s="7" t="s">
        <v>0</v>
      </c>
      <c r="AD956" s="7">
        <v>2</v>
      </c>
      <c r="AE956" s="7" t="s">
        <v>60</v>
      </c>
    </row>
    <row r="957" spans="1:31" ht="51" x14ac:dyDescent="0.2">
      <c r="A957" s="8" t="str">
        <f>HYPERLINK("http://www.patentics.cn/invokexml.do?sx=showpatent_cn&amp;sf=ShowPatent&amp;spn=US9444816&amp;sx=showpatent_cn&amp;sv=09ac9bd1d1b24f257463f17fc8b79991","US9444816")</f>
        <v>US9444816</v>
      </c>
      <c r="B957" s="9" t="s">
        <v>4824</v>
      </c>
      <c r="C957" s="9" t="s">
        <v>4825</v>
      </c>
      <c r="D957" s="9" t="s">
        <v>48</v>
      </c>
      <c r="E957" s="9" t="s">
        <v>49</v>
      </c>
      <c r="F957" s="9" t="s">
        <v>4826</v>
      </c>
      <c r="G957" s="9" t="s">
        <v>4827</v>
      </c>
      <c r="H957" s="9" t="s">
        <v>0</v>
      </c>
      <c r="I957" s="9" t="s">
        <v>4828</v>
      </c>
      <c r="J957" s="9" t="s">
        <v>914</v>
      </c>
      <c r="K957" s="9" t="s">
        <v>1486</v>
      </c>
      <c r="L957" s="9" t="s">
        <v>4829</v>
      </c>
      <c r="M957" s="9">
        <v>15</v>
      </c>
      <c r="N957" s="9">
        <v>30</v>
      </c>
      <c r="O957" s="9" t="s">
        <v>57</v>
      </c>
      <c r="P957" s="9" t="s">
        <v>58</v>
      </c>
      <c r="Q957" s="9">
        <v>43</v>
      </c>
      <c r="R957" s="9">
        <v>1</v>
      </c>
      <c r="S957" s="9">
        <v>42</v>
      </c>
      <c r="T957" s="9">
        <v>22</v>
      </c>
      <c r="U957" s="9">
        <v>0</v>
      </c>
      <c r="V957" s="9" t="s">
        <v>114</v>
      </c>
      <c r="W957" s="9">
        <v>0</v>
      </c>
      <c r="X957" s="9">
        <v>0</v>
      </c>
      <c r="Y957" s="9">
        <v>0</v>
      </c>
      <c r="Z957" s="9">
        <v>0</v>
      </c>
      <c r="AA957" s="9">
        <v>0</v>
      </c>
      <c r="AB957" s="9">
        <v>0</v>
      </c>
      <c r="AC957" s="9">
        <v>14</v>
      </c>
      <c r="AD957" s="9" t="s">
        <v>0</v>
      </c>
      <c r="AE957" s="9" t="s">
        <v>60</v>
      </c>
    </row>
    <row r="958" spans="1:31" ht="38.25" x14ac:dyDescent="0.2">
      <c r="A958" s="8" t="str">
        <f>HYPERLINK("http://www.patentics.cn/invokexml.do?sx=showpatent_cn&amp;sf=ShowPatent&amp;spn=CN103477604B&amp;sx=showpatent_cn&amp;sv=f8484742b556066925fc9e28af56ab70","CN103477604B")</f>
        <v>CN103477604B</v>
      </c>
      <c r="B958" s="9" t="s">
        <v>4830</v>
      </c>
      <c r="C958" s="9" t="s">
        <v>4831</v>
      </c>
      <c r="D958" s="9" t="s">
        <v>301</v>
      </c>
      <c r="E958" s="9" t="s">
        <v>301</v>
      </c>
      <c r="F958" s="9" t="s">
        <v>4832</v>
      </c>
      <c r="G958" s="9" t="s">
        <v>4833</v>
      </c>
      <c r="H958" s="9" t="s">
        <v>4828</v>
      </c>
      <c r="I958" s="9" t="s">
        <v>4834</v>
      </c>
      <c r="J958" s="9" t="s">
        <v>1478</v>
      </c>
      <c r="K958" s="9" t="s">
        <v>68</v>
      </c>
      <c r="L958" s="9" t="s">
        <v>2336</v>
      </c>
      <c r="M958" s="9">
        <v>13</v>
      </c>
      <c r="N958" s="9">
        <v>27</v>
      </c>
      <c r="O958" s="9" t="s">
        <v>57</v>
      </c>
      <c r="P958" s="9" t="s">
        <v>58</v>
      </c>
      <c r="Q958" s="9">
        <v>6</v>
      </c>
      <c r="R958" s="9">
        <v>1</v>
      </c>
      <c r="S958" s="9">
        <v>5</v>
      </c>
      <c r="T958" s="9">
        <v>3</v>
      </c>
      <c r="U958" s="9">
        <v>0</v>
      </c>
      <c r="V958" s="9" t="s">
        <v>114</v>
      </c>
      <c r="W958" s="9">
        <v>0</v>
      </c>
      <c r="X958" s="9">
        <v>0</v>
      </c>
      <c r="Y958" s="9">
        <v>0</v>
      </c>
      <c r="Z958" s="9">
        <v>0</v>
      </c>
      <c r="AA958" s="9">
        <v>0</v>
      </c>
      <c r="AB958" s="9">
        <v>0</v>
      </c>
      <c r="AC958" s="9">
        <v>14</v>
      </c>
      <c r="AD958" s="9" t="s">
        <v>0</v>
      </c>
      <c r="AE958" s="9" t="s">
        <v>60</v>
      </c>
    </row>
    <row r="959" spans="1:31" ht="25.5" x14ac:dyDescent="0.2">
      <c r="A959" s="6" t="str">
        <f>HYPERLINK("http://www.patentics.cn/invokexml.do?sx=showpatent_cn&amp;sf=ShowPatent&amp;spn=CN1402472&amp;sx=showpatent_cn&amp;sv=187b87dcfef0577b98b1d359d02178c4","CN1402472")</f>
        <v>CN1402472</v>
      </c>
      <c r="B959" s="7" t="s">
        <v>4835</v>
      </c>
      <c r="C959" s="7" t="s">
        <v>4836</v>
      </c>
      <c r="D959" s="7" t="s">
        <v>1383</v>
      </c>
      <c r="E959" s="7" t="s">
        <v>1383</v>
      </c>
      <c r="F959" s="7" t="s">
        <v>4837</v>
      </c>
      <c r="G959" s="7" t="s">
        <v>4838</v>
      </c>
      <c r="H959" s="7" t="s">
        <v>4839</v>
      </c>
      <c r="I959" s="7" t="s">
        <v>4839</v>
      </c>
      <c r="J959" s="7" t="s">
        <v>4840</v>
      </c>
      <c r="K959" s="7" t="s">
        <v>68</v>
      </c>
      <c r="L959" s="7" t="s">
        <v>2448</v>
      </c>
      <c r="M959" s="7">
        <v>2</v>
      </c>
      <c r="N959" s="7">
        <v>25</v>
      </c>
      <c r="O959" s="7" t="s">
        <v>42</v>
      </c>
      <c r="P959" s="7" t="s">
        <v>43</v>
      </c>
      <c r="Q959" s="7">
        <v>0</v>
      </c>
      <c r="R959" s="7">
        <v>0</v>
      </c>
      <c r="S959" s="7">
        <v>0</v>
      </c>
      <c r="T959" s="7">
        <v>0</v>
      </c>
      <c r="U959" s="7">
        <v>9</v>
      </c>
      <c r="V959" s="7" t="s">
        <v>4841</v>
      </c>
      <c r="W959" s="7">
        <v>1</v>
      </c>
      <c r="X959" s="7">
        <v>8</v>
      </c>
      <c r="Y959" s="7">
        <v>6</v>
      </c>
      <c r="Z959" s="7">
        <v>2</v>
      </c>
      <c r="AA959" s="7">
        <v>1</v>
      </c>
      <c r="AB959" s="7">
        <v>1</v>
      </c>
      <c r="AC959" s="7" t="s">
        <v>0</v>
      </c>
      <c r="AD959" s="7">
        <v>2</v>
      </c>
      <c r="AE959" s="7" t="s">
        <v>532</v>
      </c>
    </row>
    <row r="960" spans="1:31" ht="76.5" x14ac:dyDescent="0.2">
      <c r="A960" s="8" t="str">
        <f>HYPERLINK("http://www.patentics.cn/invokexml.do?sx=showpatent_cn&amp;sf=ShowPatent&amp;spn=CN102113277B&amp;sx=showpatent_cn&amp;sv=572fa6b08920bd62ee9c512aae8bcd42","CN102113277B")</f>
        <v>CN102113277B</v>
      </c>
      <c r="B960" s="9" t="s">
        <v>4842</v>
      </c>
      <c r="C960" s="9" t="s">
        <v>4843</v>
      </c>
      <c r="D960" s="9" t="s">
        <v>301</v>
      </c>
      <c r="E960" s="9" t="s">
        <v>301</v>
      </c>
      <c r="F960" s="9" t="s">
        <v>4844</v>
      </c>
      <c r="G960" s="9" t="s">
        <v>4845</v>
      </c>
      <c r="H960" s="9" t="s">
        <v>4438</v>
      </c>
      <c r="I960" s="9" t="s">
        <v>3671</v>
      </c>
      <c r="J960" s="9" t="s">
        <v>2528</v>
      </c>
      <c r="K960" s="9" t="s">
        <v>68</v>
      </c>
      <c r="L960" s="9" t="s">
        <v>4846</v>
      </c>
      <c r="M960" s="9">
        <v>45</v>
      </c>
      <c r="N960" s="9">
        <v>7</v>
      </c>
      <c r="O960" s="9" t="s">
        <v>57</v>
      </c>
      <c r="P960" s="9" t="s">
        <v>58</v>
      </c>
      <c r="Q960" s="9">
        <v>2</v>
      </c>
      <c r="R960" s="9">
        <v>0</v>
      </c>
      <c r="S960" s="9">
        <v>2</v>
      </c>
      <c r="T960" s="9">
        <v>2</v>
      </c>
      <c r="U960" s="9">
        <v>0</v>
      </c>
      <c r="V960" s="9" t="s">
        <v>114</v>
      </c>
      <c r="W960" s="9">
        <v>0</v>
      </c>
      <c r="X960" s="9">
        <v>0</v>
      </c>
      <c r="Y960" s="9">
        <v>0</v>
      </c>
      <c r="Z960" s="9">
        <v>0</v>
      </c>
      <c r="AA960" s="9">
        <v>21</v>
      </c>
      <c r="AB960" s="9">
        <v>10</v>
      </c>
      <c r="AC960" s="9">
        <v>14</v>
      </c>
      <c r="AD960" s="9" t="s">
        <v>0</v>
      </c>
      <c r="AE960" s="9" t="s">
        <v>60</v>
      </c>
    </row>
    <row r="961" spans="1:31" ht="76.5" x14ac:dyDescent="0.2">
      <c r="A961" s="8" t="str">
        <f>HYPERLINK("http://www.patentics.cn/invokexml.do?sx=showpatent_cn&amp;sf=ShowPatent&amp;spn=CN103826260B&amp;sx=showpatent_cn&amp;sv=c4dc8715049991d8ba5107e06702f0ca","CN103826260B")</f>
        <v>CN103826260B</v>
      </c>
      <c r="B961" s="9" t="s">
        <v>4847</v>
      </c>
      <c r="C961" s="9" t="s">
        <v>4848</v>
      </c>
      <c r="D961" s="9" t="s">
        <v>301</v>
      </c>
      <c r="E961" s="9" t="s">
        <v>301</v>
      </c>
      <c r="F961" s="9" t="s">
        <v>4844</v>
      </c>
      <c r="G961" s="9" t="s">
        <v>4845</v>
      </c>
      <c r="H961" s="9" t="s">
        <v>4438</v>
      </c>
      <c r="I961" s="9" t="s">
        <v>3671</v>
      </c>
      <c r="J961" s="9" t="s">
        <v>1338</v>
      </c>
      <c r="K961" s="9" t="s">
        <v>55</v>
      </c>
      <c r="L961" s="9" t="s">
        <v>4849</v>
      </c>
      <c r="M961" s="9">
        <v>15</v>
      </c>
      <c r="N961" s="9">
        <v>20</v>
      </c>
      <c r="O961" s="9" t="s">
        <v>57</v>
      </c>
      <c r="P961" s="9" t="s">
        <v>58</v>
      </c>
      <c r="Q961" s="9">
        <v>3</v>
      </c>
      <c r="R961" s="9">
        <v>0</v>
      </c>
      <c r="S961" s="9">
        <v>3</v>
      </c>
      <c r="T961" s="9">
        <v>3</v>
      </c>
      <c r="U961" s="9">
        <v>0</v>
      </c>
      <c r="V961" s="9" t="s">
        <v>114</v>
      </c>
      <c r="W961" s="9">
        <v>0</v>
      </c>
      <c r="X961" s="9">
        <v>0</v>
      </c>
      <c r="Y961" s="9">
        <v>0</v>
      </c>
      <c r="Z961" s="9">
        <v>0</v>
      </c>
      <c r="AA961" s="9">
        <v>0</v>
      </c>
      <c r="AB961" s="9">
        <v>0</v>
      </c>
      <c r="AC961" s="9">
        <v>14</v>
      </c>
      <c r="AD961" s="9" t="s">
        <v>0</v>
      </c>
      <c r="AE961" s="9" t="s">
        <v>60</v>
      </c>
    </row>
    <row r="962" spans="1:31" ht="25.5" x14ac:dyDescent="0.2">
      <c r="A962" s="6" t="str">
        <f>HYPERLINK("http://www.patentics.cn/invokexml.do?sx=showpatent_cn&amp;sf=ShowPatent&amp;spn=CN1376960&amp;sx=showpatent_cn&amp;sv=78892c5afdfe300a256f9b4e89aed3d6","CN1376960")</f>
        <v>CN1376960</v>
      </c>
      <c r="B962" s="7" t="s">
        <v>4850</v>
      </c>
      <c r="C962" s="7" t="s">
        <v>4851</v>
      </c>
      <c r="D962" s="7" t="s">
        <v>3146</v>
      </c>
      <c r="E962" s="7" t="s">
        <v>3146</v>
      </c>
      <c r="F962" s="7" t="s">
        <v>4852</v>
      </c>
      <c r="G962" s="7" t="s">
        <v>4853</v>
      </c>
      <c r="H962" s="7" t="s">
        <v>4854</v>
      </c>
      <c r="I962" s="7" t="s">
        <v>4854</v>
      </c>
      <c r="J962" s="7" t="s">
        <v>4855</v>
      </c>
      <c r="K962" s="7" t="s">
        <v>885</v>
      </c>
      <c r="L962" s="7" t="s">
        <v>4856</v>
      </c>
      <c r="M962" s="7">
        <v>2</v>
      </c>
      <c r="N962" s="7">
        <v>38</v>
      </c>
      <c r="O962" s="7" t="s">
        <v>42</v>
      </c>
      <c r="P962" s="7" t="s">
        <v>43</v>
      </c>
      <c r="Q962" s="7">
        <v>0</v>
      </c>
      <c r="R962" s="7">
        <v>0</v>
      </c>
      <c r="S962" s="7">
        <v>0</v>
      </c>
      <c r="T962" s="7">
        <v>0</v>
      </c>
      <c r="U962" s="7">
        <v>7</v>
      </c>
      <c r="V962" s="7" t="s">
        <v>4857</v>
      </c>
      <c r="W962" s="7">
        <v>1</v>
      </c>
      <c r="X962" s="7">
        <v>6</v>
      </c>
      <c r="Y962" s="7">
        <v>6</v>
      </c>
      <c r="Z962" s="7">
        <v>2</v>
      </c>
      <c r="AA962" s="7">
        <v>1</v>
      </c>
      <c r="AB962" s="7">
        <v>1</v>
      </c>
      <c r="AC962" s="7" t="s">
        <v>0</v>
      </c>
      <c r="AD962" s="7">
        <v>2</v>
      </c>
      <c r="AE962" s="7" t="s">
        <v>532</v>
      </c>
    </row>
    <row r="963" spans="1:31" ht="89.25" x14ac:dyDescent="0.2">
      <c r="A963" s="8" t="str">
        <f>HYPERLINK("http://www.patentics.cn/invokexml.do?sx=showpatent_cn&amp;sf=ShowPatent&amp;spn=CN1951084B&amp;sx=showpatent_cn&amp;sv=269a936177c89e5a320d5a07b8b0e4df","CN1951084B")</f>
        <v>CN1951084B</v>
      </c>
      <c r="B963" s="9" t="s">
        <v>4858</v>
      </c>
      <c r="C963" s="9" t="s">
        <v>4859</v>
      </c>
      <c r="D963" s="9" t="s">
        <v>301</v>
      </c>
      <c r="E963" s="9" t="s">
        <v>301</v>
      </c>
      <c r="F963" s="9" t="s">
        <v>4860</v>
      </c>
      <c r="G963" s="9" t="s">
        <v>4861</v>
      </c>
      <c r="H963" s="9" t="s">
        <v>4502</v>
      </c>
      <c r="I963" s="9" t="s">
        <v>261</v>
      </c>
      <c r="J963" s="9" t="s">
        <v>451</v>
      </c>
      <c r="K963" s="9" t="s">
        <v>68</v>
      </c>
      <c r="L963" s="9" t="s">
        <v>2336</v>
      </c>
      <c r="M963" s="9">
        <v>19</v>
      </c>
      <c r="N963" s="9">
        <v>30</v>
      </c>
      <c r="O963" s="9" t="s">
        <v>57</v>
      </c>
      <c r="P963" s="9" t="s">
        <v>58</v>
      </c>
      <c r="Q963" s="9">
        <v>3</v>
      </c>
      <c r="R963" s="9">
        <v>2</v>
      </c>
      <c r="S963" s="9">
        <v>1</v>
      </c>
      <c r="T963" s="9">
        <v>2</v>
      </c>
      <c r="U963" s="9">
        <v>0</v>
      </c>
      <c r="V963" s="9" t="s">
        <v>114</v>
      </c>
      <c r="W963" s="9">
        <v>0</v>
      </c>
      <c r="X963" s="9">
        <v>0</v>
      </c>
      <c r="Y963" s="9">
        <v>0</v>
      </c>
      <c r="Z963" s="9">
        <v>0</v>
      </c>
      <c r="AA963" s="9">
        <v>37</v>
      </c>
      <c r="AB963" s="9">
        <v>13</v>
      </c>
      <c r="AC963" s="9">
        <v>14</v>
      </c>
      <c r="AD963" s="9" t="s">
        <v>0</v>
      </c>
      <c r="AE963" s="9" t="s">
        <v>60</v>
      </c>
    </row>
    <row r="964" spans="1:31" ht="89.25" x14ac:dyDescent="0.2">
      <c r="A964" s="8" t="str">
        <f>HYPERLINK("http://www.patentics.cn/invokexml.do?sx=showpatent_cn&amp;sf=ShowPatent&amp;spn=CN101827103B&amp;sx=showpatent_cn&amp;sv=8f6434a0e49dc01a1ec13cf56fa29031","CN101827103B")</f>
        <v>CN101827103B</v>
      </c>
      <c r="B964" s="9" t="s">
        <v>4862</v>
      </c>
      <c r="C964" s="9" t="s">
        <v>4859</v>
      </c>
      <c r="D964" s="9" t="s">
        <v>301</v>
      </c>
      <c r="E964" s="9" t="s">
        <v>301</v>
      </c>
      <c r="F964" s="9" t="s">
        <v>4860</v>
      </c>
      <c r="G964" s="9" t="s">
        <v>4861</v>
      </c>
      <c r="H964" s="9" t="s">
        <v>4502</v>
      </c>
      <c r="I964" s="9" t="s">
        <v>261</v>
      </c>
      <c r="J964" s="9" t="s">
        <v>1908</v>
      </c>
      <c r="K964" s="9" t="s">
        <v>68</v>
      </c>
      <c r="L964" s="9" t="s">
        <v>2336</v>
      </c>
      <c r="M964" s="9">
        <v>12</v>
      </c>
      <c r="N964" s="9">
        <v>25</v>
      </c>
      <c r="O964" s="9" t="s">
        <v>57</v>
      </c>
      <c r="P964" s="9" t="s">
        <v>58</v>
      </c>
      <c r="Q964" s="9">
        <v>4</v>
      </c>
      <c r="R964" s="9">
        <v>3</v>
      </c>
      <c r="S964" s="9">
        <v>1</v>
      </c>
      <c r="T964" s="9">
        <v>2</v>
      </c>
      <c r="U964" s="9">
        <v>0</v>
      </c>
      <c r="V964" s="9" t="s">
        <v>114</v>
      </c>
      <c r="W964" s="9">
        <v>0</v>
      </c>
      <c r="X964" s="9">
        <v>0</v>
      </c>
      <c r="Y964" s="9">
        <v>0</v>
      </c>
      <c r="Z964" s="9">
        <v>0</v>
      </c>
      <c r="AA964" s="9">
        <v>37</v>
      </c>
      <c r="AB964" s="9">
        <v>13</v>
      </c>
      <c r="AC964" s="9">
        <v>14</v>
      </c>
      <c r="AD964" s="9" t="s">
        <v>0</v>
      </c>
      <c r="AE964" s="9" t="s">
        <v>532</v>
      </c>
    </row>
    <row r="965" spans="1:31" ht="25.5" x14ac:dyDescent="0.2">
      <c r="A965" s="6" t="str">
        <f>HYPERLINK("http://www.patentics.cn/invokexml.do?sx=showpatent_cn&amp;sf=ShowPatent&amp;spn=CN1367615&amp;sx=showpatent_cn&amp;sv=cf76ff83cfcd384caf40b9561b7bad9d","CN1367615")</f>
        <v>CN1367615</v>
      </c>
      <c r="B965" s="7" t="s">
        <v>4863</v>
      </c>
      <c r="C965" s="7" t="s">
        <v>4864</v>
      </c>
      <c r="D965" s="7" t="s">
        <v>1383</v>
      </c>
      <c r="E965" s="7" t="s">
        <v>1383</v>
      </c>
      <c r="F965" s="7" t="s">
        <v>1638</v>
      </c>
      <c r="G965" s="7" t="s">
        <v>1639</v>
      </c>
      <c r="H965" s="7" t="s">
        <v>4865</v>
      </c>
      <c r="I965" s="7" t="s">
        <v>4865</v>
      </c>
      <c r="J965" s="7" t="s">
        <v>4866</v>
      </c>
      <c r="K965" s="7" t="s">
        <v>714</v>
      </c>
      <c r="L965" s="7" t="s">
        <v>4803</v>
      </c>
      <c r="M965" s="7">
        <v>5</v>
      </c>
      <c r="N965" s="7">
        <v>15</v>
      </c>
      <c r="O965" s="7" t="s">
        <v>42</v>
      </c>
      <c r="P965" s="7" t="s">
        <v>43</v>
      </c>
      <c r="Q965" s="7">
        <v>1</v>
      </c>
      <c r="R965" s="7">
        <v>1</v>
      </c>
      <c r="S965" s="7">
        <v>0</v>
      </c>
      <c r="T965" s="7">
        <v>1</v>
      </c>
      <c r="U965" s="7">
        <v>30</v>
      </c>
      <c r="V965" s="7" t="s">
        <v>4867</v>
      </c>
      <c r="W965" s="7">
        <v>1</v>
      </c>
      <c r="X965" s="7">
        <v>29</v>
      </c>
      <c r="Y965" s="7">
        <v>12</v>
      </c>
      <c r="Z965" s="7">
        <v>3</v>
      </c>
      <c r="AA965" s="7">
        <v>1</v>
      </c>
      <c r="AB965" s="7">
        <v>1</v>
      </c>
      <c r="AC965" s="7" t="s">
        <v>0</v>
      </c>
      <c r="AD965" s="7">
        <v>2</v>
      </c>
      <c r="AE965" s="7" t="s">
        <v>532</v>
      </c>
    </row>
    <row r="966" spans="1:31" ht="63.75" x14ac:dyDescent="0.2">
      <c r="A966" s="8" t="str">
        <f>HYPERLINK("http://www.patentics.cn/invokexml.do?sx=showpatent_cn&amp;sf=ShowPatent&amp;spn=US8891637&amp;sx=showpatent_cn&amp;sv=4e642a95c5f99865c4346bcd36be74a7","US8891637")</f>
        <v>US8891637</v>
      </c>
      <c r="B966" s="9" t="s">
        <v>4868</v>
      </c>
      <c r="C966" s="9" t="s">
        <v>4869</v>
      </c>
      <c r="D966" s="9" t="s">
        <v>48</v>
      </c>
      <c r="E966" s="9" t="s">
        <v>49</v>
      </c>
      <c r="F966" s="9" t="s">
        <v>4870</v>
      </c>
      <c r="G966" s="9" t="s">
        <v>4871</v>
      </c>
      <c r="H966" s="9" t="s">
        <v>2752</v>
      </c>
      <c r="I966" s="9" t="s">
        <v>4476</v>
      </c>
      <c r="J966" s="9" t="s">
        <v>567</v>
      </c>
      <c r="K966" s="9" t="s">
        <v>68</v>
      </c>
      <c r="L966" s="9" t="s">
        <v>69</v>
      </c>
      <c r="M966" s="9">
        <v>17</v>
      </c>
      <c r="N966" s="9">
        <v>15</v>
      </c>
      <c r="O966" s="9" t="s">
        <v>57</v>
      </c>
      <c r="P966" s="9" t="s">
        <v>58</v>
      </c>
      <c r="Q966" s="9">
        <v>7</v>
      </c>
      <c r="R966" s="9">
        <v>1</v>
      </c>
      <c r="S966" s="9">
        <v>6</v>
      </c>
      <c r="T966" s="9">
        <v>6</v>
      </c>
      <c r="U966" s="9">
        <v>0</v>
      </c>
      <c r="V966" s="9" t="s">
        <v>114</v>
      </c>
      <c r="W966" s="9">
        <v>0</v>
      </c>
      <c r="X966" s="9">
        <v>0</v>
      </c>
      <c r="Y966" s="9">
        <v>0</v>
      </c>
      <c r="Z966" s="9">
        <v>0</v>
      </c>
      <c r="AA966" s="9">
        <v>15</v>
      </c>
      <c r="AB966" s="9">
        <v>9</v>
      </c>
      <c r="AC966" s="9">
        <v>14</v>
      </c>
      <c r="AD966" s="9" t="s">
        <v>0</v>
      </c>
      <c r="AE966" s="9" t="s">
        <v>60</v>
      </c>
    </row>
    <row r="967" spans="1:31" ht="38.25" x14ac:dyDescent="0.2">
      <c r="A967" s="8" t="str">
        <f>HYPERLINK("http://www.patentics.cn/invokexml.do?sx=showpatent_cn&amp;sf=ShowPatent&amp;spn=CN1863181B&amp;sx=showpatent_cn&amp;sv=070f8844cd74070a012c93d38fe504f8","CN1863181B")</f>
        <v>CN1863181B</v>
      </c>
      <c r="B967" s="9" t="s">
        <v>4872</v>
      </c>
      <c r="C967" s="9" t="s">
        <v>4873</v>
      </c>
      <c r="D967" s="9" t="s">
        <v>301</v>
      </c>
      <c r="E967" s="9" t="s">
        <v>301</v>
      </c>
      <c r="F967" s="9" t="s">
        <v>4874</v>
      </c>
      <c r="G967" s="9" t="s">
        <v>4875</v>
      </c>
      <c r="H967" s="9" t="s">
        <v>4876</v>
      </c>
      <c r="I967" s="9" t="s">
        <v>4877</v>
      </c>
      <c r="J967" s="9" t="s">
        <v>1092</v>
      </c>
      <c r="K967" s="9" t="s">
        <v>68</v>
      </c>
      <c r="L967" s="9" t="s">
        <v>281</v>
      </c>
      <c r="M967" s="9">
        <v>20</v>
      </c>
      <c r="N967" s="9">
        <v>18</v>
      </c>
      <c r="O967" s="9" t="s">
        <v>57</v>
      </c>
      <c r="P967" s="9" t="s">
        <v>341</v>
      </c>
      <c r="Q967" s="9">
        <v>3</v>
      </c>
      <c r="R967" s="9">
        <v>0</v>
      </c>
      <c r="S967" s="9">
        <v>3</v>
      </c>
      <c r="T967" s="9">
        <v>3</v>
      </c>
      <c r="U967" s="9">
        <v>6</v>
      </c>
      <c r="V967" s="9" t="s">
        <v>114</v>
      </c>
      <c r="W967" s="9">
        <v>0</v>
      </c>
      <c r="X967" s="9">
        <v>6</v>
      </c>
      <c r="Y967" s="9">
        <v>0</v>
      </c>
      <c r="Z967" s="9">
        <v>1</v>
      </c>
      <c r="AA967" s="9">
        <v>18</v>
      </c>
      <c r="AB967" s="9">
        <v>7</v>
      </c>
      <c r="AC967" s="9">
        <v>14</v>
      </c>
      <c r="AD967" s="9" t="s">
        <v>0</v>
      </c>
      <c r="AE967" s="9" t="s">
        <v>60</v>
      </c>
    </row>
    <row r="968" spans="1:31" ht="38.25" x14ac:dyDescent="0.2">
      <c r="A968" s="6" t="str">
        <f>HYPERLINK("http://www.patentics.cn/invokexml.do?sx=showpatent_cn&amp;sf=ShowPatent&amp;spn=CN1347189&amp;sx=showpatent_cn&amp;sv=036260be11a85d388a744d8ab51fe61d","CN1347189")</f>
        <v>CN1347189</v>
      </c>
      <c r="B968" s="7" t="s">
        <v>4878</v>
      </c>
      <c r="C968" s="7" t="s">
        <v>4879</v>
      </c>
      <c r="D968" s="7" t="s">
        <v>1383</v>
      </c>
      <c r="E968" s="7" t="s">
        <v>1383</v>
      </c>
      <c r="F968" s="7" t="s">
        <v>4880</v>
      </c>
      <c r="G968" s="7" t="s">
        <v>4881</v>
      </c>
      <c r="H968" s="7" t="s">
        <v>4882</v>
      </c>
      <c r="I968" s="7" t="s">
        <v>4882</v>
      </c>
      <c r="J968" s="7" t="s">
        <v>4883</v>
      </c>
      <c r="K968" s="7" t="s">
        <v>3123</v>
      </c>
      <c r="L968" s="7" t="s">
        <v>4884</v>
      </c>
      <c r="M968" s="7">
        <v>5</v>
      </c>
      <c r="N968" s="7">
        <v>26</v>
      </c>
      <c r="O968" s="7" t="s">
        <v>42</v>
      </c>
      <c r="P968" s="7" t="s">
        <v>43</v>
      </c>
      <c r="Q968" s="7">
        <v>0</v>
      </c>
      <c r="R968" s="7">
        <v>0</v>
      </c>
      <c r="S968" s="7">
        <v>0</v>
      </c>
      <c r="T968" s="7">
        <v>0</v>
      </c>
      <c r="U968" s="7">
        <v>4</v>
      </c>
      <c r="V968" s="7" t="s">
        <v>1397</v>
      </c>
      <c r="W968" s="7">
        <v>0</v>
      </c>
      <c r="X968" s="7">
        <v>4</v>
      </c>
      <c r="Y968" s="7">
        <v>3</v>
      </c>
      <c r="Z968" s="7">
        <v>2</v>
      </c>
      <c r="AA968" s="7">
        <v>1</v>
      </c>
      <c r="AB968" s="7">
        <v>1</v>
      </c>
      <c r="AC968" s="7" t="s">
        <v>0</v>
      </c>
      <c r="AD968" s="7">
        <v>2</v>
      </c>
      <c r="AE968" s="7" t="s">
        <v>532</v>
      </c>
    </row>
    <row r="969" spans="1:31" ht="102" x14ac:dyDescent="0.2">
      <c r="A969" s="8" t="str">
        <f>HYPERLINK("http://www.patentics.cn/invokexml.do?sx=showpatent_cn&amp;sf=ShowPatent&amp;spn=US8593203&amp;sx=showpatent_cn&amp;sv=c866b896c3a5457dd9ba390e492c73b5","US8593203")</f>
        <v>US8593203</v>
      </c>
      <c r="B969" s="9" t="s">
        <v>4885</v>
      </c>
      <c r="C969" s="9" t="s">
        <v>4886</v>
      </c>
      <c r="D969" s="9" t="s">
        <v>48</v>
      </c>
      <c r="E969" s="9" t="s">
        <v>49</v>
      </c>
      <c r="F969" s="9" t="s">
        <v>4887</v>
      </c>
      <c r="G969" s="9" t="s">
        <v>4888</v>
      </c>
      <c r="H969" s="9" t="s">
        <v>4889</v>
      </c>
      <c r="I969" s="9" t="s">
        <v>4889</v>
      </c>
      <c r="J969" s="9" t="s">
        <v>723</v>
      </c>
      <c r="K969" s="9" t="s">
        <v>2207</v>
      </c>
      <c r="L969" s="9" t="s">
        <v>4890</v>
      </c>
      <c r="M969" s="9">
        <v>19</v>
      </c>
      <c r="N969" s="9">
        <v>24</v>
      </c>
      <c r="O969" s="9" t="s">
        <v>57</v>
      </c>
      <c r="P969" s="9" t="s">
        <v>58</v>
      </c>
      <c r="Q969" s="9">
        <v>88</v>
      </c>
      <c r="R969" s="9">
        <v>4</v>
      </c>
      <c r="S969" s="9">
        <v>84</v>
      </c>
      <c r="T969" s="9">
        <v>47</v>
      </c>
      <c r="U969" s="9">
        <v>6</v>
      </c>
      <c r="V969" s="9" t="s">
        <v>370</v>
      </c>
      <c r="W969" s="9">
        <v>5</v>
      </c>
      <c r="X969" s="9">
        <v>1</v>
      </c>
      <c r="Y969" s="9">
        <v>2</v>
      </c>
      <c r="Z969" s="9">
        <v>1</v>
      </c>
      <c r="AA969" s="9">
        <v>7</v>
      </c>
      <c r="AB969" s="9">
        <v>7</v>
      </c>
      <c r="AC969" s="9">
        <v>14</v>
      </c>
      <c r="AD969" s="9" t="s">
        <v>0</v>
      </c>
      <c r="AE969" s="9" t="s">
        <v>60</v>
      </c>
    </row>
    <row r="970" spans="1:31" ht="89.25" x14ac:dyDescent="0.2">
      <c r="A970" s="8" t="str">
        <f>HYPERLINK("http://www.patentics.cn/invokexml.do?sx=showpatent_cn&amp;sf=ShowPatent&amp;spn=CN102089973B&amp;sx=showpatent_cn&amp;sv=96610864be8c5849b1d9e5c6d35eb56a","CN102089973B")</f>
        <v>CN102089973B</v>
      </c>
      <c r="B970" s="9" t="s">
        <v>4891</v>
      </c>
      <c r="C970" s="9" t="s">
        <v>4892</v>
      </c>
      <c r="D970" s="9" t="s">
        <v>301</v>
      </c>
      <c r="E970" s="9" t="s">
        <v>301</v>
      </c>
      <c r="F970" s="9" t="s">
        <v>4893</v>
      </c>
      <c r="G970" s="9" t="s">
        <v>4894</v>
      </c>
      <c r="H970" s="9" t="s">
        <v>4889</v>
      </c>
      <c r="I970" s="9" t="s">
        <v>4811</v>
      </c>
      <c r="J970" s="9" t="s">
        <v>2845</v>
      </c>
      <c r="K970" s="9" t="s">
        <v>368</v>
      </c>
      <c r="L970" s="9" t="s">
        <v>4895</v>
      </c>
      <c r="M970" s="9">
        <v>19</v>
      </c>
      <c r="N970" s="9">
        <v>21</v>
      </c>
      <c r="O970" s="9" t="s">
        <v>57</v>
      </c>
      <c r="P970" s="9" t="s">
        <v>58</v>
      </c>
      <c r="Q970" s="9">
        <v>4</v>
      </c>
      <c r="R970" s="9">
        <v>0</v>
      </c>
      <c r="S970" s="9">
        <v>4</v>
      </c>
      <c r="T970" s="9">
        <v>4</v>
      </c>
      <c r="U970" s="9">
        <v>0</v>
      </c>
      <c r="V970" s="9" t="s">
        <v>114</v>
      </c>
      <c r="W970" s="9">
        <v>0</v>
      </c>
      <c r="X970" s="9">
        <v>0</v>
      </c>
      <c r="Y970" s="9">
        <v>0</v>
      </c>
      <c r="Z970" s="9">
        <v>0</v>
      </c>
      <c r="AA970" s="9">
        <v>16</v>
      </c>
      <c r="AB970" s="9">
        <v>7</v>
      </c>
      <c r="AC970" s="9">
        <v>14</v>
      </c>
      <c r="AD970" s="9" t="s">
        <v>0</v>
      </c>
      <c r="AE970" s="9" t="s">
        <v>60</v>
      </c>
    </row>
    <row r="971" spans="1:31" ht="25.5" x14ac:dyDescent="0.2">
      <c r="A971" s="6" t="str">
        <f>HYPERLINK("http://www.patentics.cn/invokexml.do?sx=showpatent_cn&amp;sf=ShowPatent&amp;spn=CN1342623&amp;sx=showpatent_cn&amp;sv=78bd7afcaacb0e94d61f5ee5fa01bcd0","CN1342623")</f>
        <v>CN1342623</v>
      </c>
      <c r="B971" s="7" t="s">
        <v>4896</v>
      </c>
      <c r="C971" s="7" t="s">
        <v>4897</v>
      </c>
      <c r="D971" s="7" t="s">
        <v>923</v>
      </c>
      <c r="E971" s="7" t="s">
        <v>923</v>
      </c>
      <c r="F971" s="7" t="s">
        <v>4898</v>
      </c>
      <c r="G971" s="7" t="s">
        <v>4899</v>
      </c>
      <c r="H971" s="7" t="s">
        <v>4900</v>
      </c>
      <c r="I971" s="7" t="s">
        <v>4900</v>
      </c>
      <c r="J971" s="7" t="s">
        <v>4901</v>
      </c>
      <c r="K971" s="7" t="s">
        <v>4902</v>
      </c>
      <c r="L971" s="7" t="s">
        <v>4903</v>
      </c>
      <c r="M971" s="7">
        <v>3</v>
      </c>
      <c r="N971" s="7">
        <v>3</v>
      </c>
      <c r="O971" s="7" t="s">
        <v>42</v>
      </c>
      <c r="P971" s="7" t="s">
        <v>43</v>
      </c>
      <c r="Q971" s="7">
        <v>0</v>
      </c>
      <c r="R971" s="7">
        <v>0</v>
      </c>
      <c r="S971" s="7">
        <v>0</v>
      </c>
      <c r="T971" s="7">
        <v>0</v>
      </c>
      <c r="U971" s="7">
        <v>9</v>
      </c>
      <c r="V971" s="7" t="s">
        <v>4904</v>
      </c>
      <c r="W971" s="7">
        <v>0</v>
      </c>
      <c r="X971" s="7">
        <v>9</v>
      </c>
      <c r="Y971" s="7">
        <v>6</v>
      </c>
      <c r="Z971" s="7">
        <v>1</v>
      </c>
      <c r="AA971" s="7">
        <v>1</v>
      </c>
      <c r="AB971" s="7">
        <v>1</v>
      </c>
      <c r="AC971" s="7" t="s">
        <v>0</v>
      </c>
      <c r="AD971" s="7">
        <v>2</v>
      </c>
      <c r="AE971" s="7" t="s">
        <v>532</v>
      </c>
    </row>
    <row r="972" spans="1:31" ht="51" x14ac:dyDescent="0.2">
      <c r="A972" s="8" t="str">
        <f>HYPERLINK("http://www.patentics.cn/invokexml.do?sx=showpatent_cn&amp;sf=ShowPatent&amp;spn=CN102812740B&amp;sx=showpatent_cn&amp;sv=5bd258e3be40bc0ceac9c3766480abc5","CN102812740B")</f>
        <v>CN102812740B</v>
      </c>
      <c r="B972" s="9" t="s">
        <v>4905</v>
      </c>
      <c r="C972" s="9" t="s">
        <v>4906</v>
      </c>
      <c r="D972" s="9" t="s">
        <v>301</v>
      </c>
      <c r="E972" s="9" t="s">
        <v>301</v>
      </c>
      <c r="F972" s="9" t="s">
        <v>4907</v>
      </c>
      <c r="G972" s="9" t="s">
        <v>4908</v>
      </c>
      <c r="H972" s="9" t="s">
        <v>3658</v>
      </c>
      <c r="I972" s="9" t="s">
        <v>3527</v>
      </c>
      <c r="J972" s="9" t="s">
        <v>3928</v>
      </c>
      <c r="K972" s="9" t="s">
        <v>55</v>
      </c>
      <c r="L972" s="9" t="s">
        <v>4909</v>
      </c>
      <c r="M972" s="9">
        <v>20</v>
      </c>
      <c r="N972" s="9">
        <v>14</v>
      </c>
      <c r="O972" s="9" t="s">
        <v>57</v>
      </c>
      <c r="P972" s="9" t="s">
        <v>58</v>
      </c>
      <c r="Q972" s="9">
        <v>2</v>
      </c>
      <c r="R972" s="9">
        <v>0</v>
      </c>
      <c r="S972" s="9">
        <v>2</v>
      </c>
      <c r="T972" s="9">
        <v>2</v>
      </c>
      <c r="U972" s="9">
        <v>0</v>
      </c>
      <c r="V972" s="9" t="s">
        <v>114</v>
      </c>
      <c r="W972" s="9">
        <v>0</v>
      </c>
      <c r="X972" s="9">
        <v>0</v>
      </c>
      <c r="Y972" s="9">
        <v>0</v>
      </c>
      <c r="Z972" s="9">
        <v>0</v>
      </c>
      <c r="AA972" s="9">
        <v>10</v>
      </c>
      <c r="AB972" s="9">
        <v>7</v>
      </c>
      <c r="AC972" s="9">
        <v>14</v>
      </c>
      <c r="AD972" s="9" t="s">
        <v>0</v>
      </c>
      <c r="AE972" s="9" t="s">
        <v>60</v>
      </c>
    </row>
    <row r="973" spans="1:31" ht="51" x14ac:dyDescent="0.2">
      <c r="A973" s="8" t="str">
        <f>HYPERLINK("http://www.patentics.cn/invokexml.do?sx=showpatent_cn&amp;sf=ShowPatent&amp;spn=CN102812740&amp;sx=showpatent_cn&amp;sv=24926b14bd758aec75e40dedd0b246a7","CN102812740")</f>
        <v>CN102812740</v>
      </c>
      <c r="B973" s="9" t="s">
        <v>4905</v>
      </c>
      <c r="C973" s="9" t="s">
        <v>4906</v>
      </c>
      <c r="D973" s="9" t="s">
        <v>301</v>
      </c>
      <c r="E973" s="9" t="s">
        <v>301</v>
      </c>
      <c r="F973" s="9" t="s">
        <v>4907</v>
      </c>
      <c r="G973" s="9" t="s">
        <v>4908</v>
      </c>
      <c r="H973" s="9" t="s">
        <v>3658</v>
      </c>
      <c r="I973" s="9" t="s">
        <v>3527</v>
      </c>
      <c r="J973" s="9" t="s">
        <v>2082</v>
      </c>
      <c r="K973" s="9" t="s">
        <v>55</v>
      </c>
      <c r="L973" s="9" t="s">
        <v>4909</v>
      </c>
      <c r="M973" s="9">
        <v>40</v>
      </c>
      <c r="N973" s="9">
        <v>14</v>
      </c>
      <c r="O973" s="9" t="s">
        <v>42</v>
      </c>
      <c r="P973" s="9" t="s">
        <v>58</v>
      </c>
      <c r="Q973" s="9">
        <v>4</v>
      </c>
      <c r="R973" s="9">
        <v>0</v>
      </c>
      <c r="S973" s="9">
        <v>4</v>
      </c>
      <c r="T973" s="9">
        <v>4</v>
      </c>
      <c r="U973" s="9">
        <v>0</v>
      </c>
      <c r="V973" s="9" t="s">
        <v>114</v>
      </c>
      <c r="W973" s="9">
        <v>0</v>
      </c>
      <c r="X973" s="9">
        <v>0</v>
      </c>
      <c r="Y973" s="9">
        <v>0</v>
      </c>
      <c r="Z973" s="9">
        <v>0</v>
      </c>
      <c r="AA973" s="9">
        <v>10</v>
      </c>
      <c r="AB973" s="9">
        <v>7</v>
      </c>
      <c r="AC973" s="9">
        <v>14</v>
      </c>
      <c r="AD973" s="9" t="s">
        <v>0</v>
      </c>
      <c r="AE973" s="9" t="s">
        <v>60</v>
      </c>
    </row>
    <row r="974" spans="1:31" ht="76.5" x14ac:dyDescent="0.2">
      <c r="A974" s="6" t="str">
        <f>HYPERLINK("http://www.patentics.cn/invokexml.do?sx=showpatent_cn&amp;sf=ShowPatent&amp;spn=CN1243617&amp;sx=showpatent_cn&amp;sv=f03fab16518e14f677923e5cc4da487f","CN1243617")</f>
        <v>CN1243617</v>
      </c>
      <c r="B974" s="7" t="s">
        <v>4910</v>
      </c>
      <c r="C974" s="7" t="s">
        <v>4911</v>
      </c>
      <c r="D974" s="7" t="s">
        <v>4912</v>
      </c>
      <c r="E974" s="7" t="s">
        <v>4913</v>
      </c>
      <c r="F974" s="7" t="s">
        <v>4914</v>
      </c>
      <c r="G974" s="7" t="s">
        <v>4915</v>
      </c>
      <c r="H974" s="7" t="s">
        <v>4916</v>
      </c>
      <c r="I974" s="7" t="s">
        <v>4916</v>
      </c>
      <c r="J974" s="7" t="s">
        <v>4917</v>
      </c>
      <c r="K974" s="7" t="s">
        <v>1529</v>
      </c>
      <c r="L974" s="7" t="s">
        <v>3063</v>
      </c>
      <c r="M974" s="7">
        <v>4</v>
      </c>
      <c r="N974" s="7">
        <v>6</v>
      </c>
      <c r="O974" s="7" t="s">
        <v>42</v>
      </c>
      <c r="P974" s="7" t="s">
        <v>58</v>
      </c>
      <c r="Q974" s="7">
        <v>0</v>
      </c>
      <c r="R974" s="7">
        <v>0</v>
      </c>
      <c r="S974" s="7">
        <v>0</v>
      </c>
      <c r="T974" s="7">
        <v>0</v>
      </c>
      <c r="U974" s="7">
        <v>6</v>
      </c>
      <c r="V974" s="7" t="s">
        <v>4918</v>
      </c>
      <c r="W974" s="7">
        <v>1</v>
      </c>
      <c r="X974" s="7">
        <v>5</v>
      </c>
      <c r="Y974" s="7">
        <v>4</v>
      </c>
      <c r="Z974" s="7">
        <v>2</v>
      </c>
      <c r="AA974" s="7">
        <v>37</v>
      </c>
      <c r="AB974" s="7">
        <v>13</v>
      </c>
      <c r="AC974" s="7" t="s">
        <v>0</v>
      </c>
      <c r="AD974" s="7">
        <v>2</v>
      </c>
      <c r="AE974" s="7" t="s">
        <v>532</v>
      </c>
    </row>
    <row r="975" spans="1:31" ht="114.75" x14ac:dyDescent="0.2">
      <c r="A975" s="8" t="str">
        <f>HYPERLINK("http://www.patentics.cn/invokexml.do?sx=showpatent_cn&amp;sf=ShowPatent&amp;spn=US8438447&amp;sx=showpatent_cn&amp;sv=fdcbebd93da62dc480b6e61bbe0c8238","US8438447")</f>
        <v>US8438447</v>
      </c>
      <c r="B975" s="9" t="s">
        <v>4919</v>
      </c>
      <c r="C975" s="9" t="s">
        <v>4920</v>
      </c>
      <c r="D975" s="9" t="s">
        <v>48</v>
      </c>
      <c r="E975" s="9" t="s">
        <v>49</v>
      </c>
      <c r="F975" s="9" t="s">
        <v>4921</v>
      </c>
      <c r="G975" s="9" t="s">
        <v>4922</v>
      </c>
      <c r="H975" s="9" t="s">
        <v>4923</v>
      </c>
      <c r="I975" s="9" t="s">
        <v>1791</v>
      </c>
      <c r="J975" s="9" t="s">
        <v>4924</v>
      </c>
      <c r="K975" s="9" t="s">
        <v>1529</v>
      </c>
      <c r="L975" s="9" t="s">
        <v>3063</v>
      </c>
      <c r="M975" s="9">
        <v>9</v>
      </c>
      <c r="N975" s="9">
        <v>15</v>
      </c>
      <c r="O975" s="9" t="s">
        <v>57</v>
      </c>
      <c r="P975" s="9" t="s">
        <v>58</v>
      </c>
      <c r="Q975" s="9">
        <v>52</v>
      </c>
      <c r="R975" s="9">
        <v>13</v>
      </c>
      <c r="S975" s="9">
        <v>39</v>
      </c>
      <c r="T975" s="9">
        <v>21</v>
      </c>
      <c r="U975" s="9">
        <v>18</v>
      </c>
      <c r="V975" s="9" t="s">
        <v>114</v>
      </c>
      <c r="W975" s="9">
        <v>0</v>
      </c>
      <c r="X975" s="9">
        <v>18</v>
      </c>
      <c r="Y975" s="9">
        <v>0</v>
      </c>
      <c r="Z975" s="9">
        <v>1</v>
      </c>
      <c r="AA975" s="9">
        <v>69</v>
      </c>
      <c r="AB975" s="9">
        <v>17</v>
      </c>
      <c r="AC975" s="9">
        <v>14</v>
      </c>
      <c r="AD975" s="9" t="s">
        <v>0</v>
      </c>
      <c r="AE975" s="9" t="s">
        <v>60</v>
      </c>
    </row>
    <row r="976" spans="1:31" ht="63.75" x14ac:dyDescent="0.2">
      <c r="A976" s="8" t="str">
        <f>HYPERLINK("http://www.patentics.cn/invokexml.do?sx=showpatent_cn&amp;sf=ShowPatent&amp;spn=CN100525169C&amp;sx=showpatent_cn&amp;sv=2a7b4bc0046ba6cb02ed400859285d84","CN100525169C")</f>
        <v>CN100525169C</v>
      </c>
      <c r="B976" s="9" t="s">
        <v>4925</v>
      </c>
      <c r="C976" s="9" t="s">
        <v>4926</v>
      </c>
      <c r="D976" s="9" t="s">
        <v>301</v>
      </c>
      <c r="E976" s="9" t="s">
        <v>301</v>
      </c>
      <c r="F976" s="9" t="s">
        <v>4927</v>
      </c>
      <c r="G976" s="9" t="s">
        <v>4928</v>
      </c>
      <c r="H976" s="9" t="s">
        <v>4923</v>
      </c>
      <c r="I976" s="9" t="s">
        <v>4929</v>
      </c>
      <c r="J976" s="9" t="s">
        <v>4434</v>
      </c>
      <c r="K976" s="9" t="s">
        <v>68</v>
      </c>
      <c r="L976" s="9" t="s">
        <v>327</v>
      </c>
      <c r="M976" s="9">
        <v>22</v>
      </c>
      <c r="N976" s="9">
        <v>13</v>
      </c>
      <c r="O976" s="9" t="s">
        <v>57</v>
      </c>
      <c r="P976" s="9" t="s">
        <v>58</v>
      </c>
      <c r="Q976" s="9">
        <v>11</v>
      </c>
      <c r="R976" s="9">
        <v>7</v>
      </c>
      <c r="S976" s="9">
        <v>4</v>
      </c>
      <c r="T976" s="9">
        <v>5</v>
      </c>
      <c r="U976" s="9">
        <v>18</v>
      </c>
      <c r="V976" s="9" t="s">
        <v>114</v>
      </c>
      <c r="W976" s="9">
        <v>0</v>
      </c>
      <c r="X976" s="9">
        <v>18</v>
      </c>
      <c r="Y976" s="9">
        <v>0</v>
      </c>
      <c r="Z976" s="9">
        <v>1</v>
      </c>
      <c r="AA976" s="9">
        <v>69</v>
      </c>
      <c r="AB976" s="9">
        <v>17</v>
      </c>
      <c r="AC976" s="9">
        <v>14</v>
      </c>
      <c r="AD976" s="9" t="s">
        <v>0</v>
      </c>
      <c r="AE976" s="9" t="s">
        <v>60</v>
      </c>
    </row>
    <row r="977" spans="1:31" ht="25.5" x14ac:dyDescent="0.2">
      <c r="A977" s="6" t="str">
        <f>HYPERLINK("http://www.patentics.cn/invokexml.do?sx=showpatent_cn&amp;sf=ShowPatent&amp;spn=CN1115927&amp;sx=showpatent_cn&amp;sv=cdb3e9b9cfb899c62ee563c95f36f49d","CN1115927")</f>
        <v>CN1115927</v>
      </c>
      <c r="B977" s="7" t="s">
        <v>4930</v>
      </c>
      <c r="C977" s="7" t="s">
        <v>4931</v>
      </c>
      <c r="D977" s="7" t="s">
        <v>1383</v>
      </c>
      <c r="E977" s="7" t="s">
        <v>1383</v>
      </c>
      <c r="F977" s="7" t="s">
        <v>4932</v>
      </c>
      <c r="G977" s="7" t="s">
        <v>4933</v>
      </c>
      <c r="H977" s="7" t="s">
        <v>4934</v>
      </c>
      <c r="I977" s="7" t="s">
        <v>4934</v>
      </c>
      <c r="J977" s="7" t="s">
        <v>4935</v>
      </c>
      <c r="K977" s="7" t="s">
        <v>68</v>
      </c>
      <c r="L977" s="7" t="s">
        <v>4936</v>
      </c>
      <c r="M977" s="7">
        <v>5</v>
      </c>
      <c r="N977" s="7">
        <v>29</v>
      </c>
      <c r="O977" s="7" t="s">
        <v>42</v>
      </c>
      <c r="P977" s="7" t="s">
        <v>43</v>
      </c>
      <c r="Q977" s="7">
        <v>0</v>
      </c>
      <c r="R977" s="7">
        <v>0</v>
      </c>
      <c r="S977" s="7">
        <v>0</v>
      </c>
      <c r="T977" s="7">
        <v>0</v>
      </c>
      <c r="U977" s="7">
        <v>2</v>
      </c>
      <c r="V977" s="7" t="s">
        <v>1272</v>
      </c>
      <c r="W977" s="7">
        <v>0</v>
      </c>
      <c r="X977" s="7">
        <v>2</v>
      </c>
      <c r="Y977" s="7">
        <v>1</v>
      </c>
      <c r="Z977" s="7">
        <v>2</v>
      </c>
      <c r="AA977" s="7">
        <v>1</v>
      </c>
      <c r="AB977" s="7">
        <v>1</v>
      </c>
      <c r="AC977" s="7" t="s">
        <v>0</v>
      </c>
      <c r="AD977" s="7">
        <v>2</v>
      </c>
      <c r="AE977" s="7" t="s">
        <v>532</v>
      </c>
    </row>
    <row r="978" spans="1:31" ht="76.5" x14ac:dyDescent="0.2">
      <c r="A978" s="8" t="str">
        <f>HYPERLINK("http://www.patentics.cn/invokexml.do?sx=showpatent_cn&amp;sf=ShowPatent&amp;spn=US9037437&amp;sx=showpatent_cn&amp;sv=859b8a37e07ce072e4fb153a94e6526e","US9037437")</f>
        <v>US9037437</v>
      </c>
      <c r="B978" s="9" t="s">
        <v>4937</v>
      </c>
      <c r="C978" s="9" t="s">
        <v>4938</v>
      </c>
      <c r="D978" s="9" t="s">
        <v>48</v>
      </c>
      <c r="E978" s="9" t="s">
        <v>49</v>
      </c>
      <c r="F978" s="9" t="s">
        <v>4939</v>
      </c>
      <c r="G978" s="9" t="s">
        <v>4940</v>
      </c>
      <c r="H978" s="9" t="s">
        <v>3831</v>
      </c>
      <c r="I978" s="9" t="s">
        <v>4941</v>
      </c>
      <c r="J978" s="9" t="s">
        <v>176</v>
      </c>
      <c r="K978" s="9" t="s">
        <v>885</v>
      </c>
      <c r="L978" s="9" t="s">
        <v>4942</v>
      </c>
      <c r="M978" s="9">
        <v>14</v>
      </c>
      <c r="N978" s="9">
        <v>14</v>
      </c>
      <c r="O978" s="9" t="s">
        <v>57</v>
      </c>
      <c r="P978" s="9" t="s">
        <v>58</v>
      </c>
      <c r="Q978" s="9">
        <v>46</v>
      </c>
      <c r="R978" s="9">
        <v>1</v>
      </c>
      <c r="S978" s="9">
        <v>45</v>
      </c>
      <c r="T978" s="9">
        <v>30</v>
      </c>
      <c r="U978" s="9">
        <v>0</v>
      </c>
      <c r="V978" s="9" t="s">
        <v>114</v>
      </c>
      <c r="W978" s="9">
        <v>0</v>
      </c>
      <c r="X978" s="9">
        <v>0</v>
      </c>
      <c r="Y978" s="9">
        <v>0</v>
      </c>
      <c r="Z978" s="9">
        <v>0</v>
      </c>
      <c r="AA978" s="9">
        <v>12</v>
      </c>
      <c r="AB978" s="9">
        <v>6</v>
      </c>
      <c r="AC978" s="9">
        <v>14</v>
      </c>
      <c r="AD978" s="9" t="s">
        <v>0</v>
      </c>
      <c r="AE978" s="9" t="s">
        <v>60</v>
      </c>
    </row>
    <row r="979" spans="1:31" ht="38.25" x14ac:dyDescent="0.2">
      <c r="A979" s="8" t="str">
        <f>HYPERLINK("http://www.patentics.cn/invokexml.do?sx=showpatent_cn&amp;sf=ShowPatent&amp;spn=CN103703508&amp;sx=showpatent_cn&amp;sv=d6a6adad296dde195eb6e42e51ba0a30","CN103703508")</f>
        <v>CN103703508</v>
      </c>
      <c r="B979" s="9" t="s">
        <v>4943</v>
      </c>
      <c r="C979" s="9" t="s">
        <v>4944</v>
      </c>
      <c r="D979" s="9" t="s">
        <v>301</v>
      </c>
      <c r="E979" s="9" t="s">
        <v>301</v>
      </c>
      <c r="F979" s="9" t="s">
        <v>4945</v>
      </c>
      <c r="G979" s="9" t="s">
        <v>4946</v>
      </c>
      <c r="H979" s="9" t="s">
        <v>3831</v>
      </c>
      <c r="I979" s="9" t="s">
        <v>2147</v>
      </c>
      <c r="J979" s="9" t="s">
        <v>4947</v>
      </c>
      <c r="K979" s="9" t="s">
        <v>741</v>
      </c>
      <c r="L979" s="9" t="s">
        <v>1770</v>
      </c>
      <c r="M979" s="9">
        <v>42</v>
      </c>
      <c r="N979" s="9">
        <v>8</v>
      </c>
      <c r="O979" s="9" t="s">
        <v>42</v>
      </c>
      <c r="P979" s="9" t="s">
        <v>58</v>
      </c>
      <c r="Q979" s="9">
        <v>7</v>
      </c>
      <c r="R979" s="9">
        <v>0</v>
      </c>
      <c r="S979" s="9">
        <v>7</v>
      </c>
      <c r="T979" s="9">
        <v>6</v>
      </c>
      <c r="U979" s="9">
        <v>1</v>
      </c>
      <c r="V979" s="9" t="s">
        <v>321</v>
      </c>
      <c r="W979" s="9">
        <v>1</v>
      </c>
      <c r="X979" s="9">
        <v>0</v>
      </c>
      <c r="Y979" s="9">
        <v>1</v>
      </c>
      <c r="Z979" s="9">
        <v>1</v>
      </c>
      <c r="AA979" s="9">
        <v>12</v>
      </c>
      <c r="AB979" s="9">
        <v>6</v>
      </c>
      <c r="AC979" s="9">
        <v>14</v>
      </c>
      <c r="AD979" s="9" t="s">
        <v>0</v>
      </c>
      <c r="AE979" s="9" t="s">
        <v>60</v>
      </c>
    </row>
    <row r="980" spans="1:31" ht="38.25" x14ac:dyDescent="0.2">
      <c r="A980" s="6" t="str">
        <f>HYPERLINK("http://www.patentics.cn/invokexml.do?sx=showpatent_cn&amp;sf=ShowPatent&amp;spn=CN102761350B&amp;sx=showpatent_cn&amp;sv=66de60fe02f964384d4acd46d1ee572d","CN102761350B")</f>
        <v>CN102761350B</v>
      </c>
      <c r="B980" s="7" t="s">
        <v>4948</v>
      </c>
      <c r="C980" s="7" t="s">
        <v>4949</v>
      </c>
      <c r="D980" s="7" t="s">
        <v>4950</v>
      </c>
      <c r="E980" s="7" t="s">
        <v>4950</v>
      </c>
      <c r="F980" s="7" t="s">
        <v>4951</v>
      </c>
      <c r="G980" s="7" t="s">
        <v>4952</v>
      </c>
      <c r="H980" s="7" t="s">
        <v>4953</v>
      </c>
      <c r="I980" s="7" t="s">
        <v>4953</v>
      </c>
      <c r="J980" s="7" t="s">
        <v>2335</v>
      </c>
      <c r="K980" s="7" t="s">
        <v>89</v>
      </c>
      <c r="L980" s="7" t="s">
        <v>4954</v>
      </c>
      <c r="M980" s="7">
        <v>5</v>
      </c>
      <c r="N980" s="7">
        <v>55</v>
      </c>
      <c r="O980" s="7" t="s">
        <v>57</v>
      </c>
      <c r="P980" s="7" t="s">
        <v>43</v>
      </c>
      <c r="Q980" s="7">
        <v>9</v>
      </c>
      <c r="R980" s="7">
        <v>0</v>
      </c>
      <c r="S980" s="7">
        <v>9</v>
      </c>
      <c r="T980" s="7">
        <v>9</v>
      </c>
      <c r="U980" s="7">
        <v>1</v>
      </c>
      <c r="V980" s="7" t="s">
        <v>321</v>
      </c>
      <c r="W980" s="7">
        <v>0</v>
      </c>
      <c r="X980" s="7">
        <v>1</v>
      </c>
      <c r="Y980" s="7">
        <v>1</v>
      </c>
      <c r="Z980" s="7">
        <v>1</v>
      </c>
      <c r="AA980" s="7">
        <v>1</v>
      </c>
      <c r="AB980" s="7">
        <v>1</v>
      </c>
      <c r="AC980" s="7" t="s">
        <v>0</v>
      </c>
      <c r="AD980" s="7">
        <v>1</v>
      </c>
      <c r="AE980" s="7" t="s">
        <v>60</v>
      </c>
    </row>
    <row r="981" spans="1:31" ht="63.75" x14ac:dyDescent="0.2">
      <c r="A981" s="8" t="str">
        <f>HYPERLINK("http://www.patentics.cn/invokexml.do?sx=showpatent_cn&amp;sf=ShowPatent&amp;spn=WO2016182687&amp;sx=showpatent_cn&amp;sv=036670fa7f15dc738f8f3a6148879860","WO2016182687")</f>
        <v>WO2016182687</v>
      </c>
      <c r="B981" s="9" t="s">
        <v>4955</v>
      </c>
      <c r="C981" s="9" t="s">
        <v>4956</v>
      </c>
      <c r="D981" s="9" t="s">
        <v>117</v>
      </c>
      <c r="E981" s="9" t="s">
        <v>49</v>
      </c>
      <c r="F981" s="9" t="s">
        <v>4957</v>
      </c>
      <c r="G981" s="9" t="s">
        <v>4958</v>
      </c>
      <c r="H981" s="9" t="s">
        <v>4959</v>
      </c>
      <c r="I981" s="9" t="s">
        <v>4960</v>
      </c>
      <c r="J981" s="9" t="s">
        <v>4961</v>
      </c>
      <c r="K981" s="9" t="s">
        <v>89</v>
      </c>
      <c r="L981" s="9" t="s">
        <v>4954</v>
      </c>
      <c r="M981" s="9">
        <v>26</v>
      </c>
      <c r="N981" s="9">
        <v>8</v>
      </c>
      <c r="O981" s="9" t="s">
        <v>850</v>
      </c>
      <c r="P981" s="9" t="s">
        <v>58</v>
      </c>
      <c r="Q981" s="9">
        <v>1</v>
      </c>
      <c r="R981" s="9">
        <v>0</v>
      </c>
      <c r="S981" s="9">
        <v>1</v>
      </c>
      <c r="T981" s="9">
        <v>1</v>
      </c>
      <c r="U981" s="9">
        <v>0</v>
      </c>
      <c r="V981" s="9" t="s">
        <v>114</v>
      </c>
      <c r="W981" s="9">
        <v>0</v>
      </c>
      <c r="X981" s="9">
        <v>0</v>
      </c>
      <c r="Y981" s="9">
        <v>0</v>
      </c>
      <c r="Z981" s="9">
        <v>0</v>
      </c>
      <c r="AA981" s="9">
        <v>1</v>
      </c>
      <c r="AB981" s="9">
        <v>2</v>
      </c>
      <c r="AC981" s="9">
        <v>14</v>
      </c>
      <c r="AD981" s="9" t="s">
        <v>0</v>
      </c>
      <c r="AE981" s="9" t="s">
        <v>0</v>
      </c>
    </row>
    <row r="982" spans="1:31" ht="89.25" x14ac:dyDescent="0.2">
      <c r="A982" s="6" t="str">
        <f>HYPERLINK("http://www.patentics.cn/invokexml.do?sx=showpatent_cn&amp;sf=ShowPatent&amp;spn=CN102065298B&amp;sx=showpatent_cn&amp;sv=d61fcd4007ebbb6bf70b6587074e0ad0","CN102065298B")</f>
        <v>CN102065298B</v>
      </c>
      <c r="B982" s="7" t="s">
        <v>4962</v>
      </c>
      <c r="C982" s="7" t="s">
        <v>4963</v>
      </c>
      <c r="D982" s="7" t="s">
        <v>1420</v>
      </c>
      <c r="E982" s="7" t="s">
        <v>1420</v>
      </c>
      <c r="F982" s="7" t="s">
        <v>4964</v>
      </c>
      <c r="G982" s="7" t="s">
        <v>4965</v>
      </c>
      <c r="H982" s="7" t="s">
        <v>767</v>
      </c>
      <c r="I982" s="7" t="s">
        <v>767</v>
      </c>
      <c r="J982" s="7" t="s">
        <v>2283</v>
      </c>
      <c r="K982" s="7" t="s">
        <v>714</v>
      </c>
      <c r="L982" s="7" t="s">
        <v>1346</v>
      </c>
      <c r="M982" s="7">
        <v>5</v>
      </c>
      <c r="N982" s="7">
        <v>51</v>
      </c>
      <c r="O982" s="7" t="s">
        <v>57</v>
      </c>
      <c r="P982" s="7" t="s">
        <v>43</v>
      </c>
      <c r="Q982" s="7">
        <v>5</v>
      </c>
      <c r="R982" s="7">
        <v>0</v>
      </c>
      <c r="S982" s="7">
        <v>5</v>
      </c>
      <c r="T982" s="7">
        <v>3</v>
      </c>
      <c r="U982" s="7">
        <v>1</v>
      </c>
      <c r="V982" s="7" t="s">
        <v>466</v>
      </c>
      <c r="W982" s="7">
        <v>0</v>
      </c>
      <c r="X982" s="7">
        <v>1</v>
      </c>
      <c r="Y982" s="7">
        <v>1</v>
      </c>
      <c r="Z982" s="7">
        <v>1</v>
      </c>
      <c r="AA982" s="7">
        <v>1</v>
      </c>
      <c r="AB982" s="7">
        <v>1</v>
      </c>
      <c r="AC982" s="7" t="s">
        <v>0</v>
      </c>
      <c r="AD982" s="7">
        <v>1</v>
      </c>
      <c r="AE982" s="7" t="s">
        <v>532</v>
      </c>
    </row>
    <row r="983" spans="1:31" ht="51" x14ac:dyDescent="0.2">
      <c r="A983" s="8" t="str">
        <f>HYPERLINK("http://www.patentics.cn/invokexml.do?sx=showpatent_cn&amp;sf=ShowPatent&amp;spn=WO2015100514&amp;sx=showpatent_cn&amp;sv=46b79c38428eb27608b06b2949a140bf","WO2015100514")</f>
        <v>WO2015100514</v>
      </c>
      <c r="B983" s="9" t="s">
        <v>4966</v>
      </c>
      <c r="C983" s="9" t="s">
        <v>4967</v>
      </c>
      <c r="D983" s="9" t="s">
        <v>117</v>
      </c>
      <c r="E983" s="9" t="s">
        <v>49</v>
      </c>
      <c r="F983" s="9" t="s">
        <v>4968</v>
      </c>
      <c r="G983" s="9" t="s">
        <v>3445</v>
      </c>
      <c r="H983" s="9" t="s">
        <v>2206</v>
      </c>
      <c r="I983" s="9" t="s">
        <v>2206</v>
      </c>
      <c r="J983" s="9" t="s">
        <v>4969</v>
      </c>
      <c r="K983" s="9" t="s">
        <v>714</v>
      </c>
      <c r="L983" s="9" t="s">
        <v>4970</v>
      </c>
      <c r="M983" s="9">
        <v>63</v>
      </c>
      <c r="N983" s="9">
        <v>20</v>
      </c>
      <c r="O983" s="9" t="s">
        <v>850</v>
      </c>
      <c r="P983" s="9" t="s">
        <v>43</v>
      </c>
      <c r="Q983" s="9">
        <v>3</v>
      </c>
      <c r="R983" s="9">
        <v>0</v>
      </c>
      <c r="S983" s="9">
        <v>3</v>
      </c>
      <c r="T983" s="9">
        <v>3</v>
      </c>
      <c r="U983" s="9">
        <v>0</v>
      </c>
      <c r="V983" s="9" t="s">
        <v>114</v>
      </c>
      <c r="W983" s="9">
        <v>0</v>
      </c>
      <c r="X983" s="9">
        <v>0</v>
      </c>
      <c r="Y983" s="9">
        <v>0</v>
      </c>
      <c r="Z983" s="9">
        <v>0</v>
      </c>
      <c r="AA983" s="9">
        <v>4</v>
      </c>
      <c r="AB983" s="9">
        <v>5</v>
      </c>
      <c r="AC983" s="9">
        <v>14</v>
      </c>
      <c r="AD983" s="9" t="s">
        <v>0</v>
      </c>
      <c r="AE983" s="9" t="s">
        <v>0</v>
      </c>
    </row>
    <row r="984" spans="1:31" ht="38.25" x14ac:dyDescent="0.2">
      <c r="A984" s="6" t="str">
        <f>HYPERLINK("http://www.patentics.cn/invokexml.do?sx=showpatent_cn&amp;sf=ShowPatent&amp;spn=CN101414964B&amp;sx=showpatent_cn&amp;sv=c8cb68648f13710457cdb82ff74bc98d","CN101414964B")</f>
        <v>CN101414964B</v>
      </c>
      <c r="B984" s="7" t="s">
        <v>4971</v>
      </c>
      <c r="C984" s="7" t="s">
        <v>4972</v>
      </c>
      <c r="D984" s="7" t="s">
        <v>3184</v>
      </c>
      <c r="E984" s="7" t="s">
        <v>3184</v>
      </c>
      <c r="F984" s="7" t="s">
        <v>4973</v>
      </c>
      <c r="G984" s="7" t="s">
        <v>4974</v>
      </c>
      <c r="H984" s="7" t="s">
        <v>1784</v>
      </c>
      <c r="I984" s="7" t="s">
        <v>1784</v>
      </c>
      <c r="J984" s="7" t="s">
        <v>4828</v>
      </c>
      <c r="K984" s="7" t="s">
        <v>68</v>
      </c>
      <c r="L984" s="7" t="s">
        <v>1946</v>
      </c>
      <c r="M984" s="7">
        <v>2</v>
      </c>
      <c r="N984" s="7">
        <v>64</v>
      </c>
      <c r="O984" s="7" t="s">
        <v>57</v>
      </c>
      <c r="P984" s="7" t="s">
        <v>43</v>
      </c>
      <c r="Q984" s="7">
        <v>3</v>
      </c>
      <c r="R984" s="7">
        <v>0</v>
      </c>
      <c r="S984" s="7">
        <v>3</v>
      </c>
      <c r="T984" s="7">
        <v>3</v>
      </c>
      <c r="U984" s="7">
        <v>1</v>
      </c>
      <c r="V984" s="7" t="s">
        <v>515</v>
      </c>
      <c r="W984" s="7">
        <v>0</v>
      </c>
      <c r="X984" s="7">
        <v>1</v>
      </c>
      <c r="Y984" s="7">
        <v>1</v>
      </c>
      <c r="Z984" s="7">
        <v>1</v>
      </c>
      <c r="AA984" s="7">
        <v>1</v>
      </c>
      <c r="AB984" s="7">
        <v>1</v>
      </c>
      <c r="AC984" s="7" t="s">
        <v>0</v>
      </c>
      <c r="AD984" s="7">
        <v>1</v>
      </c>
      <c r="AE984" s="7" t="s">
        <v>532</v>
      </c>
    </row>
    <row r="985" spans="1:31" ht="63.75" x14ac:dyDescent="0.2">
      <c r="A985" s="8" t="str">
        <f>HYPERLINK("http://www.patentics.cn/invokexml.do?sx=showpatent_cn&amp;sf=ShowPatent&amp;spn=WO2014018782&amp;sx=showpatent_cn&amp;sv=d2326f406bb40691e8d11849b3a51359","WO2014018782")</f>
        <v>WO2014018782</v>
      </c>
      <c r="B985" s="9" t="s">
        <v>4975</v>
      </c>
      <c r="C985" s="9" t="s">
        <v>4976</v>
      </c>
      <c r="D985" s="9" t="s">
        <v>117</v>
      </c>
      <c r="E985" s="9" t="s">
        <v>49</v>
      </c>
      <c r="F985" s="9" t="s">
        <v>4977</v>
      </c>
      <c r="G985" s="9" t="s">
        <v>4978</v>
      </c>
      <c r="H985" s="9" t="s">
        <v>2153</v>
      </c>
      <c r="I985" s="9" t="s">
        <v>4979</v>
      </c>
      <c r="J985" s="9" t="s">
        <v>4980</v>
      </c>
      <c r="K985" s="9" t="s">
        <v>68</v>
      </c>
      <c r="L985" s="9" t="s">
        <v>2436</v>
      </c>
      <c r="M985" s="9">
        <v>53</v>
      </c>
      <c r="N985" s="9">
        <v>15</v>
      </c>
      <c r="O985" s="9" t="s">
        <v>850</v>
      </c>
      <c r="P985" s="9" t="s">
        <v>58</v>
      </c>
      <c r="Q985" s="9">
        <v>10</v>
      </c>
      <c r="R985" s="9">
        <v>0</v>
      </c>
      <c r="S985" s="9">
        <v>10</v>
      </c>
      <c r="T985" s="9">
        <v>7</v>
      </c>
      <c r="U985" s="9">
        <v>0</v>
      </c>
      <c r="V985" s="9" t="s">
        <v>114</v>
      </c>
      <c r="W985" s="9">
        <v>0</v>
      </c>
      <c r="X985" s="9">
        <v>0</v>
      </c>
      <c r="Y985" s="9">
        <v>0</v>
      </c>
      <c r="Z985" s="9">
        <v>0</v>
      </c>
      <c r="AA985" s="9">
        <v>1</v>
      </c>
      <c r="AB985" s="9">
        <v>2</v>
      </c>
      <c r="AC985" s="9">
        <v>14</v>
      </c>
      <c r="AD985" s="9" t="s">
        <v>0</v>
      </c>
      <c r="AE985" s="9" t="s">
        <v>0</v>
      </c>
    </row>
    <row r="986" spans="1:31" ht="25.5" x14ac:dyDescent="0.2">
      <c r="A986" s="6" t="str">
        <f>HYPERLINK("http://www.patentics.cn/invokexml.do?sx=showpatent_cn&amp;sf=ShowPatent&amp;spn=CN100536042C&amp;sx=showpatent_cn&amp;sv=7763e2f0b8e3dea66a73cc616eb6148e","CN100536042C")</f>
        <v>CN100536042C</v>
      </c>
      <c r="B986" s="7" t="s">
        <v>4981</v>
      </c>
      <c r="C986" s="7" t="s">
        <v>4982</v>
      </c>
      <c r="D986" s="7" t="s">
        <v>1341</v>
      </c>
      <c r="E986" s="7" t="s">
        <v>1341</v>
      </c>
      <c r="F986" s="7" t="s">
        <v>4983</v>
      </c>
      <c r="G986" s="7" t="s">
        <v>4984</v>
      </c>
      <c r="H986" s="7" t="s">
        <v>4985</v>
      </c>
      <c r="I986" s="7" t="s">
        <v>4985</v>
      </c>
      <c r="J986" s="7" t="s">
        <v>1535</v>
      </c>
      <c r="K986" s="7" t="s">
        <v>540</v>
      </c>
      <c r="L986" s="7" t="s">
        <v>4986</v>
      </c>
      <c r="M986" s="7">
        <v>9</v>
      </c>
      <c r="N986" s="7">
        <v>17</v>
      </c>
      <c r="O986" s="7" t="s">
        <v>57</v>
      </c>
      <c r="P986" s="7" t="s">
        <v>43</v>
      </c>
      <c r="Q986" s="7">
        <v>2</v>
      </c>
      <c r="R986" s="7">
        <v>1</v>
      </c>
      <c r="S986" s="7">
        <v>1</v>
      </c>
      <c r="T986" s="7">
        <v>2</v>
      </c>
      <c r="U986" s="7">
        <v>1</v>
      </c>
      <c r="V986" s="7" t="s">
        <v>1236</v>
      </c>
      <c r="W986" s="7">
        <v>0</v>
      </c>
      <c r="X986" s="7">
        <v>1</v>
      </c>
      <c r="Y986" s="7">
        <v>1</v>
      </c>
      <c r="Z986" s="7">
        <v>1</v>
      </c>
      <c r="AA986" s="7">
        <v>11</v>
      </c>
      <c r="AB986" s="7">
        <v>4</v>
      </c>
      <c r="AC986" s="7" t="s">
        <v>0</v>
      </c>
      <c r="AD986" s="7">
        <v>1</v>
      </c>
      <c r="AE986" s="7" t="s">
        <v>532</v>
      </c>
    </row>
    <row r="987" spans="1:31" ht="102" x14ac:dyDescent="0.2">
      <c r="A987" s="8" t="str">
        <f>HYPERLINK("http://www.patentics.cn/invokexml.do?sx=showpatent_cn&amp;sf=ShowPatent&amp;spn=WO2014137902&amp;sx=showpatent_cn&amp;sv=a68c1a12c1d1a3a2ab26947ab8c4b2bb","WO2014137902")</f>
        <v>WO2014137902</v>
      </c>
      <c r="B987" s="9" t="s">
        <v>4987</v>
      </c>
      <c r="C987" s="9" t="s">
        <v>4988</v>
      </c>
      <c r="D987" s="9" t="s">
        <v>117</v>
      </c>
      <c r="E987" s="9" t="s">
        <v>49</v>
      </c>
      <c r="F987" s="9" t="s">
        <v>4989</v>
      </c>
      <c r="G987" s="9" t="s">
        <v>4990</v>
      </c>
      <c r="H987" s="9" t="s">
        <v>4991</v>
      </c>
      <c r="I987" s="9" t="s">
        <v>4992</v>
      </c>
      <c r="J987" s="9" t="s">
        <v>4993</v>
      </c>
      <c r="K987" s="9" t="s">
        <v>540</v>
      </c>
      <c r="L987" s="9" t="s">
        <v>4994</v>
      </c>
      <c r="M987" s="9">
        <v>38</v>
      </c>
      <c r="N987" s="9">
        <v>6</v>
      </c>
      <c r="O987" s="9" t="s">
        <v>850</v>
      </c>
      <c r="P987" s="9" t="s">
        <v>58</v>
      </c>
      <c r="Q987" s="9">
        <v>8</v>
      </c>
      <c r="R987" s="9">
        <v>0</v>
      </c>
      <c r="S987" s="9">
        <v>8</v>
      </c>
      <c r="T987" s="9">
        <v>6</v>
      </c>
      <c r="U987" s="9">
        <v>0</v>
      </c>
      <c r="V987" s="9" t="s">
        <v>114</v>
      </c>
      <c r="W987" s="9">
        <v>0</v>
      </c>
      <c r="X987" s="9">
        <v>0</v>
      </c>
      <c r="Y987" s="9">
        <v>0</v>
      </c>
      <c r="Z987" s="9">
        <v>0</v>
      </c>
      <c r="AA987" s="9">
        <v>2</v>
      </c>
      <c r="AB987" s="9">
        <v>3</v>
      </c>
      <c r="AC987" s="9">
        <v>14</v>
      </c>
      <c r="AD987" s="9" t="s">
        <v>0</v>
      </c>
      <c r="AE987" s="9" t="s">
        <v>0</v>
      </c>
    </row>
    <row r="988" spans="1:31" x14ac:dyDescent="0.2">
      <c r="A988" s="6" t="str">
        <f>HYPERLINK("http://www.patentics.cn/invokexml.do?sx=showpatent_cn&amp;sf=ShowPatent&amp;spn=CN204316199&amp;sx=showpatent_cn&amp;sv=a01a834a1b0907b0fd1706b5692e8fdb","CN204316199")</f>
        <v>CN204316199</v>
      </c>
      <c r="B988" s="7" t="s">
        <v>4995</v>
      </c>
      <c r="C988" s="7" t="s">
        <v>4996</v>
      </c>
      <c r="D988" s="7" t="s">
        <v>3430</v>
      </c>
      <c r="E988" s="7" t="s">
        <v>3430</v>
      </c>
      <c r="F988" s="7" t="s">
        <v>4997</v>
      </c>
      <c r="G988" s="7" t="s">
        <v>4997</v>
      </c>
      <c r="H988" s="7" t="s">
        <v>0</v>
      </c>
      <c r="I988" s="7" t="s">
        <v>4998</v>
      </c>
      <c r="J988" s="7" t="s">
        <v>4999</v>
      </c>
      <c r="K988" s="7" t="s">
        <v>580</v>
      </c>
      <c r="L988" s="7" t="s">
        <v>589</v>
      </c>
      <c r="M988" s="7">
        <v>6</v>
      </c>
      <c r="N988" s="7">
        <v>33</v>
      </c>
      <c r="O988" s="7" t="s">
        <v>2185</v>
      </c>
      <c r="P988" s="7" t="s">
        <v>43</v>
      </c>
      <c r="Q988" s="7">
        <v>0</v>
      </c>
      <c r="R988" s="7">
        <v>0</v>
      </c>
      <c r="S988" s="7">
        <v>0</v>
      </c>
      <c r="T988" s="7">
        <v>0</v>
      </c>
      <c r="U988" s="7">
        <v>1</v>
      </c>
      <c r="V988" s="7" t="s">
        <v>1591</v>
      </c>
      <c r="W988" s="7">
        <v>0</v>
      </c>
      <c r="X988" s="7">
        <v>1</v>
      </c>
      <c r="Y988" s="7">
        <v>1</v>
      </c>
      <c r="Z988" s="7">
        <v>1</v>
      </c>
      <c r="AA988" s="7">
        <v>0</v>
      </c>
      <c r="AB988" s="7">
        <v>0</v>
      </c>
      <c r="AC988" s="7" t="s">
        <v>0</v>
      </c>
      <c r="AD988" s="7">
        <v>1</v>
      </c>
      <c r="AE988" s="7" t="s">
        <v>60</v>
      </c>
    </row>
    <row r="989" spans="1:31" ht="51" x14ac:dyDescent="0.2">
      <c r="A989" s="8" t="str">
        <f>HYPERLINK("http://www.patentics.cn/invokexml.do?sx=showpatent_cn&amp;sf=ShowPatent&amp;spn=WO2016205668&amp;sx=showpatent_cn&amp;sv=0d5411605fe6afc4b9da2450fc5a8993","WO2016205668")</f>
        <v>WO2016205668</v>
      </c>
      <c r="B989" s="9" t="s">
        <v>5000</v>
      </c>
      <c r="C989" s="9" t="s">
        <v>5001</v>
      </c>
      <c r="D989" s="9" t="s">
        <v>117</v>
      </c>
      <c r="E989" s="9" t="s">
        <v>49</v>
      </c>
      <c r="F989" s="9" t="s">
        <v>5002</v>
      </c>
      <c r="G989" s="9" t="s">
        <v>5003</v>
      </c>
      <c r="H989" s="9" t="s">
        <v>5004</v>
      </c>
      <c r="I989" s="9" t="s">
        <v>5005</v>
      </c>
      <c r="J989" s="9" t="s">
        <v>3127</v>
      </c>
      <c r="K989" s="9" t="s">
        <v>580</v>
      </c>
      <c r="L989" s="9" t="s">
        <v>5006</v>
      </c>
      <c r="M989" s="9">
        <v>30</v>
      </c>
      <c r="N989" s="9">
        <v>23</v>
      </c>
      <c r="O989" s="9" t="s">
        <v>850</v>
      </c>
      <c r="P989" s="9" t="s">
        <v>58</v>
      </c>
      <c r="Q989" s="9">
        <v>4</v>
      </c>
      <c r="R989" s="9">
        <v>1</v>
      </c>
      <c r="S989" s="9">
        <v>3</v>
      </c>
      <c r="T989" s="9">
        <v>4</v>
      </c>
      <c r="U989" s="9">
        <v>0</v>
      </c>
      <c r="V989" s="9" t="s">
        <v>114</v>
      </c>
      <c r="W989" s="9">
        <v>0</v>
      </c>
      <c r="X989" s="9">
        <v>0</v>
      </c>
      <c r="Y989" s="9">
        <v>0</v>
      </c>
      <c r="Z989" s="9">
        <v>0</v>
      </c>
      <c r="AA989" s="9">
        <v>1</v>
      </c>
      <c r="AB989" s="9">
        <v>2</v>
      </c>
      <c r="AC989" s="9">
        <v>14</v>
      </c>
      <c r="AD989" s="9" t="s">
        <v>0</v>
      </c>
      <c r="AE989" s="9" t="s">
        <v>0</v>
      </c>
    </row>
    <row r="990" spans="1:31" ht="63.75" x14ac:dyDescent="0.2">
      <c r="A990" s="6" t="str">
        <f>HYPERLINK("http://www.patentics.cn/invokexml.do?sx=showpatent_cn&amp;sf=ShowPatent&amp;spn=CN104242935&amp;sx=showpatent_cn&amp;sv=fe78a8803e65fe845618e6da05d18a6c","CN104242935")</f>
        <v>CN104242935</v>
      </c>
      <c r="B990" s="7" t="s">
        <v>5007</v>
      </c>
      <c r="C990" s="7" t="s">
        <v>5008</v>
      </c>
      <c r="D990" s="7" t="s">
        <v>35</v>
      </c>
      <c r="E990" s="7" t="s">
        <v>35</v>
      </c>
      <c r="F990" s="7" t="s">
        <v>5009</v>
      </c>
      <c r="G990" s="7" t="s">
        <v>5010</v>
      </c>
      <c r="H990" s="7" t="s">
        <v>5011</v>
      </c>
      <c r="I990" s="7" t="s">
        <v>5011</v>
      </c>
      <c r="J990" s="7" t="s">
        <v>5012</v>
      </c>
      <c r="K990" s="7" t="s">
        <v>1529</v>
      </c>
      <c r="L990" s="7" t="s">
        <v>5013</v>
      </c>
      <c r="M990" s="7">
        <v>1</v>
      </c>
      <c r="N990" s="7">
        <v>47</v>
      </c>
      <c r="O990" s="7" t="s">
        <v>42</v>
      </c>
      <c r="P990" s="7" t="s">
        <v>43</v>
      </c>
      <c r="Q990" s="7">
        <v>0</v>
      </c>
      <c r="R990" s="7">
        <v>0</v>
      </c>
      <c r="S990" s="7">
        <v>0</v>
      </c>
      <c r="T990" s="7">
        <v>0</v>
      </c>
      <c r="U990" s="7">
        <v>1</v>
      </c>
      <c r="V990" s="7" t="s">
        <v>264</v>
      </c>
      <c r="W990" s="7">
        <v>0</v>
      </c>
      <c r="X990" s="7">
        <v>1</v>
      </c>
      <c r="Y990" s="7">
        <v>1</v>
      </c>
      <c r="Z990" s="7">
        <v>1</v>
      </c>
      <c r="AA990" s="7">
        <v>1</v>
      </c>
      <c r="AB990" s="7">
        <v>1</v>
      </c>
      <c r="AC990" s="7" t="s">
        <v>0</v>
      </c>
      <c r="AD990" s="7">
        <v>1</v>
      </c>
      <c r="AE990" s="7" t="s">
        <v>60</v>
      </c>
    </row>
    <row r="991" spans="1:31" ht="51" x14ac:dyDescent="0.2">
      <c r="A991" s="8" t="str">
        <f>HYPERLINK("http://www.patentics.cn/invokexml.do?sx=showpatent_cn&amp;sf=ShowPatent&amp;spn=US9608658&amp;sx=showpatent_cn&amp;sv=a4fc6e163013bcee75076f9a3b9b2c7b","US9608658")</f>
        <v>US9608658</v>
      </c>
      <c r="B991" s="9" t="s">
        <v>5014</v>
      </c>
      <c r="C991" s="9" t="s">
        <v>5015</v>
      </c>
      <c r="D991" s="9" t="s">
        <v>48</v>
      </c>
      <c r="E991" s="9" t="s">
        <v>49</v>
      </c>
      <c r="F991" s="9" t="s">
        <v>5016</v>
      </c>
      <c r="G991" s="9" t="s">
        <v>5017</v>
      </c>
      <c r="H991" s="9" t="s">
        <v>1437</v>
      </c>
      <c r="I991" s="9" t="s">
        <v>2080</v>
      </c>
      <c r="J991" s="9" t="s">
        <v>1215</v>
      </c>
      <c r="K991" s="9" t="s">
        <v>1529</v>
      </c>
      <c r="L991" s="9" t="s">
        <v>5018</v>
      </c>
      <c r="M991" s="9">
        <v>25</v>
      </c>
      <c r="N991" s="9">
        <v>16</v>
      </c>
      <c r="O991" s="9" t="s">
        <v>57</v>
      </c>
      <c r="P991" s="9" t="s">
        <v>58</v>
      </c>
      <c r="Q991" s="9">
        <v>15</v>
      </c>
      <c r="R991" s="9">
        <v>0</v>
      </c>
      <c r="S991" s="9">
        <v>15</v>
      </c>
      <c r="T991" s="9">
        <v>13</v>
      </c>
      <c r="U991" s="9">
        <v>0</v>
      </c>
      <c r="V991" s="9" t="s">
        <v>114</v>
      </c>
      <c r="W991" s="9">
        <v>0</v>
      </c>
      <c r="X991" s="9">
        <v>0</v>
      </c>
      <c r="Y991" s="9">
        <v>0</v>
      </c>
      <c r="Z991" s="9">
        <v>0</v>
      </c>
      <c r="AA991" s="9">
        <v>2</v>
      </c>
      <c r="AB991" s="9">
        <v>2</v>
      </c>
      <c r="AC991" s="9">
        <v>14</v>
      </c>
      <c r="AD991" s="9" t="s">
        <v>0</v>
      </c>
      <c r="AE991" s="9" t="s">
        <v>60</v>
      </c>
    </row>
    <row r="992" spans="1:31" ht="38.25" x14ac:dyDescent="0.2">
      <c r="A992" s="6" t="str">
        <f>HYPERLINK("http://www.patentics.cn/invokexml.do?sx=showpatent_cn&amp;sf=ShowPatent&amp;spn=CN104157980&amp;sx=showpatent_cn&amp;sv=994aa16ccd27547ef855c53627703e20","CN104157980")</f>
        <v>CN104157980</v>
      </c>
      <c r="B992" s="7" t="s">
        <v>5019</v>
      </c>
      <c r="C992" s="7" t="s">
        <v>5020</v>
      </c>
      <c r="D992" s="7" t="s">
        <v>35</v>
      </c>
      <c r="E992" s="7" t="s">
        <v>35</v>
      </c>
      <c r="F992" s="7" t="s">
        <v>5021</v>
      </c>
      <c r="G992" s="7" t="s">
        <v>5022</v>
      </c>
      <c r="H992" s="7" t="s">
        <v>5023</v>
      </c>
      <c r="I992" s="7" t="s">
        <v>5023</v>
      </c>
      <c r="J992" s="7" t="s">
        <v>5024</v>
      </c>
      <c r="K992" s="7" t="s">
        <v>1037</v>
      </c>
      <c r="L992" s="7" t="s">
        <v>5025</v>
      </c>
      <c r="M992" s="7">
        <v>5</v>
      </c>
      <c r="N992" s="7">
        <v>24</v>
      </c>
      <c r="O992" s="7" t="s">
        <v>42</v>
      </c>
      <c r="P992" s="7" t="s">
        <v>43</v>
      </c>
      <c r="Q992" s="7">
        <v>0</v>
      </c>
      <c r="R992" s="7">
        <v>0</v>
      </c>
      <c r="S992" s="7">
        <v>0</v>
      </c>
      <c r="T992" s="7">
        <v>0</v>
      </c>
      <c r="U992" s="7">
        <v>2</v>
      </c>
      <c r="V992" s="7" t="s">
        <v>1023</v>
      </c>
      <c r="W992" s="7">
        <v>1</v>
      </c>
      <c r="X992" s="7">
        <v>1</v>
      </c>
      <c r="Y992" s="7">
        <v>2</v>
      </c>
      <c r="Z992" s="7">
        <v>2</v>
      </c>
      <c r="AA992" s="7">
        <v>1</v>
      </c>
      <c r="AB992" s="7">
        <v>1</v>
      </c>
      <c r="AC992" s="7" t="s">
        <v>0</v>
      </c>
      <c r="AD992" s="7">
        <v>1</v>
      </c>
      <c r="AE992" s="7" t="s">
        <v>60</v>
      </c>
    </row>
    <row r="993" spans="1:31" ht="63.75" x14ac:dyDescent="0.2">
      <c r="A993" s="8" t="str">
        <f>HYPERLINK("http://www.patentics.cn/invokexml.do?sx=showpatent_cn&amp;sf=ShowPatent&amp;spn=US9466885&amp;sx=showpatent_cn&amp;sv=3ca61f1a53435d80f5e337d4510686f2","US9466885")</f>
        <v>US9466885</v>
      </c>
      <c r="B993" s="9" t="s">
        <v>5026</v>
      </c>
      <c r="C993" s="9" t="s">
        <v>5027</v>
      </c>
      <c r="D993" s="9" t="s">
        <v>578</v>
      </c>
      <c r="E993" s="9" t="s">
        <v>49</v>
      </c>
      <c r="F993" s="9" t="s">
        <v>5028</v>
      </c>
      <c r="G993" s="9" t="s">
        <v>5029</v>
      </c>
      <c r="H993" s="9" t="s">
        <v>5030</v>
      </c>
      <c r="I993" s="9" t="s">
        <v>5030</v>
      </c>
      <c r="J993" s="9" t="s">
        <v>5031</v>
      </c>
      <c r="K993" s="9" t="s">
        <v>1037</v>
      </c>
      <c r="L993" s="9" t="s">
        <v>5032</v>
      </c>
      <c r="M993" s="9">
        <v>30</v>
      </c>
      <c r="N993" s="9">
        <v>10</v>
      </c>
      <c r="O993" s="9" t="s">
        <v>57</v>
      </c>
      <c r="P993" s="9" t="s">
        <v>58</v>
      </c>
      <c r="Q993" s="9">
        <v>6</v>
      </c>
      <c r="R993" s="9">
        <v>0</v>
      </c>
      <c r="S993" s="9">
        <v>6</v>
      </c>
      <c r="T993" s="9">
        <v>5</v>
      </c>
      <c r="U993" s="9">
        <v>0</v>
      </c>
      <c r="V993" s="9" t="s">
        <v>114</v>
      </c>
      <c r="W993" s="9">
        <v>0</v>
      </c>
      <c r="X993" s="9">
        <v>0</v>
      </c>
      <c r="Y993" s="9">
        <v>0</v>
      </c>
      <c r="Z993" s="9">
        <v>0</v>
      </c>
      <c r="AA993" s="9">
        <v>1</v>
      </c>
      <c r="AB993" s="9">
        <v>2</v>
      </c>
      <c r="AC993" s="9">
        <v>14</v>
      </c>
      <c r="AD993" s="9" t="s">
        <v>0</v>
      </c>
      <c r="AE993" s="9" t="s">
        <v>60</v>
      </c>
    </row>
    <row r="994" spans="1:31" ht="38.25" x14ac:dyDescent="0.2">
      <c r="A994" s="6" t="str">
        <f>HYPERLINK("http://www.patentics.cn/invokexml.do?sx=showpatent_cn&amp;sf=ShowPatent&amp;spn=CN104111880&amp;sx=showpatent_cn&amp;sv=35a57496d0f3b61f5b1b0c7d15d9ddeb","CN104111880")</f>
        <v>CN104111880</v>
      </c>
      <c r="B994" s="7" t="s">
        <v>5033</v>
      </c>
      <c r="C994" s="7" t="s">
        <v>5034</v>
      </c>
      <c r="D994" s="7" t="s">
        <v>432</v>
      </c>
      <c r="E994" s="7" t="s">
        <v>432</v>
      </c>
      <c r="F994" s="7" t="s">
        <v>5035</v>
      </c>
      <c r="G994" s="7" t="s">
        <v>5036</v>
      </c>
      <c r="H994" s="7" t="s">
        <v>0</v>
      </c>
      <c r="I994" s="7" t="s">
        <v>5037</v>
      </c>
      <c r="J994" s="7" t="s">
        <v>4185</v>
      </c>
      <c r="K994" s="7" t="s">
        <v>885</v>
      </c>
      <c r="L994" s="7" t="s">
        <v>5038</v>
      </c>
      <c r="M994" s="7">
        <v>5</v>
      </c>
      <c r="N994" s="7">
        <v>29</v>
      </c>
      <c r="O994" s="7" t="s">
        <v>42</v>
      </c>
      <c r="P994" s="7" t="s">
        <v>43</v>
      </c>
      <c r="Q994" s="7">
        <v>2</v>
      </c>
      <c r="R994" s="7">
        <v>0</v>
      </c>
      <c r="S994" s="7">
        <v>2</v>
      </c>
      <c r="T994" s="7">
        <v>2</v>
      </c>
      <c r="U994" s="7">
        <v>1</v>
      </c>
      <c r="V994" s="7" t="s">
        <v>1591</v>
      </c>
      <c r="W994" s="7">
        <v>0</v>
      </c>
      <c r="X994" s="7">
        <v>1</v>
      </c>
      <c r="Y994" s="7">
        <v>1</v>
      </c>
      <c r="Z994" s="7">
        <v>1</v>
      </c>
      <c r="AA994" s="7">
        <v>0</v>
      </c>
      <c r="AB994" s="7">
        <v>0</v>
      </c>
      <c r="AC994" s="7" t="s">
        <v>0</v>
      </c>
      <c r="AD994" s="7">
        <v>1</v>
      </c>
      <c r="AE994" s="7" t="s">
        <v>60</v>
      </c>
    </row>
    <row r="995" spans="1:31" ht="76.5" x14ac:dyDescent="0.2">
      <c r="A995" s="8" t="str">
        <f>HYPERLINK("http://www.patentics.cn/invokexml.do?sx=showpatent_cn&amp;sf=ShowPatent&amp;spn=WO2017039801&amp;sx=showpatent_cn&amp;sv=e296f77162add77db9632cdbb4d84178","WO2017039801")</f>
        <v>WO2017039801</v>
      </c>
      <c r="B995" s="9" t="s">
        <v>5039</v>
      </c>
      <c r="C995" s="9" t="s">
        <v>5040</v>
      </c>
      <c r="D995" s="9" t="s">
        <v>117</v>
      </c>
      <c r="E995" s="9" t="s">
        <v>49</v>
      </c>
      <c r="F995" s="9" t="s">
        <v>5041</v>
      </c>
      <c r="G995" s="9" t="s">
        <v>5042</v>
      </c>
      <c r="H995" s="9" t="s">
        <v>5043</v>
      </c>
      <c r="I995" s="9" t="s">
        <v>5044</v>
      </c>
      <c r="J995" s="9" t="s">
        <v>5045</v>
      </c>
      <c r="K995" s="9" t="s">
        <v>885</v>
      </c>
      <c r="L995" s="9" t="s">
        <v>5046</v>
      </c>
      <c r="M995" s="9">
        <v>52</v>
      </c>
      <c r="N995" s="9">
        <v>14</v>
      </c>
      <c r="O995" s="9" t="s">
        <v>850</v>
      </c>
      <c r="P995" s="9" t="s">
        <v>58</v>
      </c>
      <c r="Q995" s="9">
        <v>4</v>
      </c>
      <c r="R995" s="9">
        <v>0</v>
      </c>
      <c r="S995" s="9">
        <v>4</v>
      </c>
      <c r="T995" s="9">
        <v>4</v>
      </c>
      <c r="U995" s="9">
        <v>0</v>
      </c>
      <c r="V995" s="9" t="s">
        <v>114</v>
      </c>
      <c r="W995" s="9">
        <v>0</v>
      </c>
      <c r="X995" s="9">
        <v>0</v>
      </c>
      <c r="Y995" s="9">
        <v>0</v>
      </c>
      <c r="Z995" s="9">
        <v>0</v>
      </c>
      <c r="AA995" s="9">
        <v>3</v>
      </c>
      <c r="AB995" s="9">
        <v>2</v>
      </c>
      <c r="AC995" s="9">
        <v>14</v>
      </c>
      <c r="AD995" s="9" t="s">
        <v>0</v>
      </c>
      <c r="AE995" s="9" t="s">
        <v>0</v>
      </c>
    </row>
    <row r="996" spans="1:31" ht="38.25" x14ac:dyDescent="0.2">
      <c r="A996" s="6" t="str">
        <f>HYPERLINK("http://www.patentics.cn/invokexml.do?sx=showpatent_cn&amp;sf=ShowPatent&amp;spn=CN104050506&amp;sx=showpatent_cn&amp;sv=8fc1e08b605840d9ae8c6f994525f722","CN104050506")</f>
        <v>CN104050506</v>
      </c>
      <c r="B996" s="7" t="s">
        <v>5047</v>
      </c>
      <c r="C996" s="7" t="s">
        <v>5048</v>
      </c>
      <c r="D996" s="7" t="s">
        <v>35</v>
      </c>
      <c r="E996" s="7" t="s">
        <v>35</v>
      </c>
      <c r="F996" s="7" t="s">
        <v>5049</v>
      </c>
      <c r="G996" s="7" t="s">
        <v>5050</v>
      </c>
      <c r="H996" s="7" t="s">
        <v>0</v>
      </c>
      <c r="I996" s="7" t="s">
        <v>5051</v>
      </c>
      <c r="J996" s="7" t="s">
        <v>3026</v>
      </c>
      <c r="K996" s="7" t="s">
        <v>869</v>
      </c>
      <c r="L996" s="7" t="s">
        <v>5052</v>
      </c>
      <c r="M996" s="7">
        <v>4</v>
      </c>
      <c r="N996" s="7">
        <v>10</v>
      </c>
      <c r="O996" s="7" t="s">
        <v>42</v>
      </c>
      <c r="P996" s="7" t="s">
        <v>43</v>
      </c>
      <c r="Q996" s="7">
        <v>0</v>
      </c>
      <c r="R996" s="7">
        <v>0</v>
      </c>
      <c r="S996" s="7">
        <v>0</v>
      </c>
      <c r="T996" s="7">
        <v>0</v>
      </c>
      <c r="U996" s="7">
        <v>2</v>
      </c>
      <c r="V996" s="7" t="s">
        <v>5053</v>
      </c>
      <c r="W996" s="7">
        <v>1</v>
      </c>
      <c r="X996" s="7">
        <v>1</v>
      </c>
      <c r="Y996" s="7">
        <v>2</v>
      </c>
      <c r="Z996" s="7">
        <v>2</v>
      </c>
      <c r="AA996" s="7">
        <v>0</v>
      </c>
      <c r="AB996" s="7">
        <v>0</v>
      </c>
      <c r="AC996" s="7" t="s">
        <v>0</v>
      </c>
      <c r="AD996" s="7">
        <v>1</v>
      </c>
      <c r="AE996" s="7" t="s">
        <v>3651</v>
      </c>
    </row>
    <row r="997" spans="1:31" ht="51" x14ac:dyDescent="0.2">
      <c r="A997" s="8" t="str">
        <f>HYPERLINK("http://www.patentics.cn/invokexml.do?sx=showpatent_cn&amp;sf=ShowPatent&amp;spn=WO2017136104&amp;sx=showpatent_cn&amp;sv=cd9b742faf2ca7171472db63acf38965","WO2017136104")</f>
        <v>WO2017136104</v>
      </c>
      <c r="B997" s="9" t="s">
        <v>5054</v>
      </c>
      <c r="C997" s="9" t="s">
        <v>5055</v>
      </c>
      <c r="D997" s="9" t="s">
        <v>117</v>
      </c>
      <c r="E997" s="9" t="s">
        <v>49</v>
      </c>
      <c r="F997" s="9" t="s">
        <v>5056</v>
      </c>
      <c r="G997" s="9" t="s">
        <v>5057</v>
      </c>
      <c r="H997" s="9" t="s">
        <v>5058</v>
      </c>
      <c r="I997" s="9" t="s">
        <v>5059</v>
      </c>
      <c r="J997" s="9" t="s">
        <v>5060</v>
      </c>
      <c r="K997" s="9" t="s">
        <v>869</v>
      </c>
      <c r="L997" s="9" t="s">
        <v>875</v>
      </c>
      <c r="M997" s="9">
        <v>28</v>
      </c>
      <c r="N997" s="9">
        <v>12</v>
      </c>
      <c r="O997" s="9" t="s">
        <v>850</v>
      </c>
      <c r="P997" s="9" t="s">
        <v>58</v>
      </c>
      <c r="Q997" s="9">
        <v>1</v>
      </c>
      <c r="R997" s="9">
        <v>0</v>
      </c>
      <c r="S997" s="9">
        <v>1</v>
      </c>
      <c r="T997" s="9">
        <v>1</v>
      </c>
      <c r="U997" s="9">
        <v>0</v>
      </c>
      <c r="V997" s="9" t="s">
        <v>114</v>
      </c>
      <c r="W997" s="9">
        <v>0</v>
      </c>
      <c r="X997" s="9">
        <v>0</v>
      </c>
      <c r="Y997" s="9">
        <v>0</v>
      </c>
      <c r="Z997" s="9">
        <v>0</v>
      </c>
      <c r="AA997" s="9">
        <v>1</v>
      </c>
      <c r="AB997" s="9">
        <v>2</v>
      </c>
      <c r="AC997" s="9">
        <v>14</v>
      </c>
      <c r="AD997" s="9" t="s">
        <v>0</v>
      </c>
      <c r="AE997" s="9" t="s">
        <v>0</v>
      </c>
    </row>
    <row r="998" spans="1:31" ht="38.25" x14ac:dyDescent="0.2">
      <c r="A998" s="6" t="str">
        <f>HYPERLINK("http://www.patentics.cn/invokexml.do?sx=showpatent_cn&amp;sf=ShowPatent&amp;spn=CN104044741&amp;sx=showpatent_cn&amp;sv=d9234c66cdead2951d851de539681890","CN104044741")</f>
        <v>CN104044741</v>
      </c>
      <c r="B998" s="7" t="s">
        <v>5061</v>
      </c>
      <c r="C998" s="7" t="s">
        <v>5062</v>
      </c>
      <c r="D998" s="7" t="s">
        <v>5063</v>
      </c>
      <c r="E998" s="7" t="s">
        <v>5063</v>
      </c>
      <c r="F998" s="7" t="s">
        <v>5064</v>
      </c>
      <c r="G998" s="7" t="s">
        <v>5065</v>
      </c>
      <c r="H998" s="7" t="s">
        <v>0</v>
      </c>
      <c r="I998" s="7" t="s">
        <v>5066</v>
      </c>
      <c r="J998" s="7" t="s">
        <v>3026</v>
      </c>
      <c r="K998" s="7" t="s">
        <v>5067</v>
      </c>
      <c r="L998" s="7" t="s">
        <v>5068</v>
      </c>
      <c r="M998" s="7">
        <v>9</v>
      </c>
      <c r="N998" s="7">
        <v>20</v>
      </c>
      <c r="O998" s="7" t="s">
        <v>42</v>
      </c>
      <c r="P998" s="7" t="s">
        <v>43</v>
      </c>
      <c r="Q998" s="7">
        <v>6</v>
      </c>
      <c r="R998" s="7">
        <v>1</v>
      </c>
      <c r="S998" s="7">
        <v>5</v>
      </c>
      <c r="T998" s="7">
        <v>5</v>
      </c>
      <c r="U998" s="7">
        <v>2</v>
      </c>
      <c r="V998" s="7" t="s">
        <v>5069</v>
      </c>
      <c r="W998" s="7">
        <v>0</v>
      </c>
      <c r="X998" s="7">
        <v>2</v>
      </c>
      <c r="Y998" s="7">
        <v>2</v>
      </c>
      <c r="Z998" s="7">
        <v>2</v>
      </c>
      <c r="AA998" s="7">
        <v>0</v>
      </c>
      <c r="AB998" s="7">
        <v>0</v>
      </c>
      <c r="AC998" s="7" t="s">
        <v>0</v>
      </c>
      <c r="AD998" s="7">
        <v>1</v>
      </c>
      <c r="AE998" s="7" t="s">
        <v>60</v>
      </c>
    </row>
    <row r="999" spans="1:31" ht="63.75" x14ac:dyDescent="0.2">
      <c r="A999" s="8" t="str">
        <f>HYPERLINK("http://www.patentics.cn/invokexml.do?sx=showpatent_cn&amp;sf=ShowPatent&amp;spn=US9679490&amp;sx=showpatent_cn&amp;sv=0efaa36ee739c8eb45f7c7a04b0d573d","US9679490")</f>
        <v>US9679490</v>
      </c>
      <c r="B999" s="9" t="s">
        <v>5070</v>
      </c>
      <c r="C999" s="9" t="s">
        <v>5071</v>
      </c>
      <c r="D999" s="9" t="s">
        <v>48</v>
      </c>
      <c r="E999" s="9" t="s">
        <v>49</v>
      </c>
      <c r="F999" s="9" t="s">
        <v>5072</v>
      </c>
      <c r="G999" s="9" t="s">
        <v>5073</v>
      </c>
      <c r="H999" s="9" t="s">
        <v>3552</v>
      </c>
      <c r="I999" s="9" t="s">
        <v>3552</v>
      </c>
      <c r="J999" s="9" t="s">
        <v>2130</v>
      </c>
      <c r="K999" s="9" t="s">
        <v>885</v>
      </c>
      <c r="L999" s="9" t="s">
        <v>5074</v>
      </c>
      <c r="M999" s="9">
        <v>30</v>
      </c>
      <c r="N999" s="9">
        <v>12</v>
      </c>
      <c r="O999" s="9" t="s">
        <v>57</v>
      </c>
      <c r="P999" s="9" t="s">
        <v>58</v>
      </c>
      <c r="Q999" s="9">
        <v>14</v>
      </c>
      <c r="R999" s="9">
        <v>0</v>
      </c>
      <c r="S999" s="9">
        <v>14</v>
      </c>
      <c r="T999" s="9">
        <v>7</v>
      </c>
      <c r="U999" s="9">
        <v>0</v>
      </c>
      <c r="V999" s="9" t="s">
        <v>114</v>
      </c>
      <c r="W999" s="9">
        <v>0</v>
      </c>
      <c r="X999" s="9">
        <v>0</v>
      </c>
      <c r="Y999" s="9">
        <v>0</v>
      </c>
      <c r="Z999" s="9">
        <v>0</v>
      </c>
      <c r="AA999" s="9">
        <v>1</v>
      </c>
      <c r="AB999" s="9">
        <v>1</v>
      </c>
      <c r="AC999" s="9">
        <v>14</v>
      </c>
      <c r="AD999" s="9" t="s">
        <v>0</v>
      </c>
      <c r="AE999" s="9" t="s">
        <v>60</v>
      </c>
    </row>
    <row r="1000" spans="1:31" ht="38.25" x14ac:dyDescent="0.2">
      <c r="A1000" s="6" t="str">
        <f>HYPERLINK("http://www.patentics.cn/invokexml.do?sx=showpatent_cn&amp;sf=ShowPatent&amp;spn=CN103972104&amp;sx=showpatent_cn&amp;sv=6dce44c52ba0cd690b431ded6124e5d1","CN103972104")</f>
        <v>CN103972104</v>
      </c>
      <c r="B1000" s="7" t="s">
        <v>5075</v>
      </c>
      <c r="C1000" s="7" t="s">
        <v>5076</v>
      </c>
      <c r="D1000" s="7" t="s">
        <v>1383</v>
      </c>
      <c r="E1000" s="7" t="s">
        <v>1383</v>
      </c>
      <c r="F1000" s="7" t="s">
        <v>5077</v>
      </c>
      <c r="G1000" s="7" t="s">
        <v>5078</v>
      </c>
      <c r="H1000" s="7" t="s">
        <v>0</v>
      </c>
      <c r="I1000" s="7" t="s">
        <v>5079</v>
      </c>
      <c r="J1000" s="7" t="s">
        <v>3845</v>
      </c>
      <c r="K1000" s="7" t="s">
        <v>773</v>
      </c>
      <c r="L1000" s="7" t="s">
        <v>5080</v>
      </c>
      <c r="M1000" s="7">
        <v>17</v>
      </c>
      <c r="N1000" s="7">
        <v>13</v>
      </c>
      <c r="O1000" s="7" t="s">
        <v>42</v>
      </c>
      <c r="P1000" s="7" t="s">
        <v>43</v>
      </c>
      <c r="Q1000" s="7">
        <v>0</v>
      </c>
      <c r="R1000" s="7">
        <v>0</v>
      </c>
      <c r="S1000" s="7">
        <v>0</v>
      </c>
      <c r="T1000" s="7">
        <v>0</v>
      </c>
      <c r="U1000" s="7">
        <v>2</v>
      </c>
      <c r="V1000" s="7" t="s">
        <v>1767</v>
      </c>
      <c r="W1000" s="7">
        <v>0</v>
      </c>
      <c r="X1000" s="7">
        <v>2</v>
      </c>
      <c r="Y1000" s="7">
        <v>2</v>
      </c>
      <c r="Z1000" s="7">
        <v>2</v>
      </c>
      <c r="AA1000" s="7">
        <v>0</v>
      </c>
      <c r="AB1000" s="7">
        <v>0</v>
      </c>
      <c r="AC1000" s="7" t="s">
        <v>0</v>
      </c>
      <c r="AD1000" s="7">
        <v>1</v>
      </c>
      <c r="AE1000" s="7" t="s">
        <v>3651</v>
      </c>
    </row>
    <row r="1001" spans="1:31" ht="51" x14ac:dyDescent="0.2">
      <c r="A1001" s="8" t="str">
        <f>HYPERLINK("http://www.patentics.cn/invokexml.do?sx=showpatent_cn&amp;sf=ShowPatent&amp;spn=WO2015076957&amp;sx=showpatent_cn&amp;sv=71eff8a21611b01e1e936c026b71d1e1","WO2015076957")</f>
        <v>WO2015076957</v>
      </c>
      <c r="B1001" s="9" t="s">
        <v>5081</v>
      </c>
      <c r="C1001" s="9" t="s">
        <v>5082</v>
      </c>
      <c r="D1001" s="9" t="s">
        <v>117</v>
      </c>
      <c r="E1001" s="9" t="s">
        <v>49</v>
      </c>
      <c r="F1001" s="9" t="s">
        <v>5083</v>
      </c>
      <c r="G1001" s="9" t="s">
        <v>5084</v>
      </c>
      <c r="H1001" s="9" t="s">
        <v>5085</v>
      </c>
      <c r="I1001" s="9" t="s">
        <v>5086</v>
      </c>
      <c r="J1001" s="9" t="s">
        <v>5087</v>
      </c>
      <c r="K1001" s="9" t="s">
        <v>773</v>
      </c>
      <c r="L1001" s="9" t="s">
        <v>2802</v>
      </c>
      <c r="M1001" s="9">
        <v>20</v>
      </c>
      <c r="N1001" s="9">
        <v>14</v>
      </c>
      <c r="O1001" s="9" t="s">
        <v>850</v>
      </c>
      <c r="P1001" s="9" t="s">
        <v>58</v>
      </c>
      <c r="Q1001" s="9">
        <v>10</v>
      </c>
      <c r="R1001" s="9">
        <v>0</v>
      </c>
      <c r="S1001" s="9">
        <v>10</v>
      </c>
      <c r="T1001" s="9">
        <v>7</v>
      </c>
      <c r="U1001" s="9">
        <v>0</v>
      </c>
      <c r="V1001" s="9" t="s">
        <v>114</v>
      </c>
      <c r="W1001" s="9">
        <v>0</v>
      </c>
      <c r="X1001" s="9">
        <v>0</v>
      </c>
      <c r="Y1001" s="9">
        <v>0</v>
      </c>
      <c r="Z1001" s="9">
        <v>0</v>
      </c>
      <c r="AA1001" s="9">
        <v>3</v>
      </c>
      <c r="AB1001" s="9">
        <v>3</v>
      </c>
      <c r="AC1001" s="9">
        <v>14</v>
      </c>
      <c r="AD1001" s="9" t="s">
        <v>0</v>
      </c>
      <c r="AE1001" s="9" t="s">
        <v>0</v>
      </c>
    </row>
    <row r="1002" spans="1:31" ht="38.25" x14ac:dyDescent="0.2">
      <c r="A1002" s="6" t="str">
        <f>HYPERLINK("http://www.patentics.cn/invokexml.do?sx=showpatent_cn&amp;sf=ShowPatent&amp;spn=CN103929184&amp;sx=showpatent_cn&amp;sv=b60dd6ece29873795d4076b78b6e94b2","CN103929184")</f>
        <v>CN103929184</v>
      </c>
      <c r="B1002" s="7" t="s">
        <v>5088</v>
      </c>
      <c r="C1002" s="7" t="s">
        <v>5089</v>
      </c>
      <c r="D1002" s="7" t="s">
        <v>1885</v>
      </c>
      <c r="E1002" s="7" t="s">
        <v>1886</v>
      </c>
      <c r="F1002" s="7" t="s">
        <v>5090</v>
      </c>
      <c r="G1002" s="7" t="s">
        <v>5091</v>
      </c>
      <c r="H1002" s="7" t="s">
        <v>0</v>
      </c>
      <c r="I1002" s="7" t="s">
        <v>1036</v>
      </c>
      <c r="J1002" s="7" t="s">
        <v>5092</v>
      </c>
      <c r="K1002" s="7" t="s">
        <v>1529</v>
      </c>
      <c r="L1002" s="7" t="s">
        <v>5093</v>
      </c>
      <c r="M1002" s="7">
        <v>4</v>
      </c>
      <c r="N1002" s="7">
        <v>16</v>
      </c>
      <c r="O1002" s="7" t="s">
        <v>42</v>
      </c>
      <c r="P1002" s="7" t="s">
        <v>43</v>
      </c>
      <c r="Q1002" s="7">
        <v>0</v>
      </c>
      <c r="R1002" s="7">
        <v>0</v>
      </c>
      <c r="S1002" s="7">
        <v>0</v>
      </c>
      <c r="T1002" s="7">
        <v>0</v>
      </c>
      <c r="U1002" s="7">
        <v>1</v>
      </c>
      <c r="V1002" s="7" t="s">
        <v>1752</v>
      </c>
      <c r="W1002" s="7">
        <v>0</v>
      </c>
      <c r="X1002" s="7">
        <v>1</v>
      </c>
      <c r="Y1002" s="7">
        <v>1</v>
      </c>
      <c r="Z1002" s="7">
        <v>1</v>
      </c>
      <c r="AA1002" s="7">
        <v>0</v>
      </c>
      <c r="AB1002" s="7">
        <v>0</v>
      </c>
      <c r="AC1002" s="7" t="s">
        <v>0</v>
      </c>
      <c r="AD1002" s="7">
        <v>1</v>
      </c>
      <c r="AE1002" s="7" t="s">
        <v>60</v>
      </c>
    </row>
    <row r="1003" spans="1:31" ht="102" x14ac:dyDescent="0.2">
      <c r="A1003" s="8" t="str">
        <f>HYPERLINK("http://www.patentics.cn/invokexml.do?sx=showpatent_cn&amp;sf=ShowPatent&amp;spn=US9455737&amp;sx=showpatent_cn&amp;sv=27d1897a546f7b2126f897cf90e58b5c","US9455737")</f>
        <v>US9455737</v>
      </c>
      <c r="B1003" s="9" t="s">
        <v>5094</v>
      </c>
      <c r="C1003" s="9" t="s">
        <v>5095</v>
      </c>
      <c r="D1003" s="9" t="s">
        <v>117</v>
      </c>
      <c r="E1003" s="9" t="s">
        <v>49</v>
      </c>
      <c r="F1003" s="9" t="s">
        <v>5096</v>
      </c>
      <c r="G1003" s="9" t="s">
        <v>5017</v>
      </c>
      <c r="H1003" s="9" t="s">
        <v>1437</v>
      </c>
      <c r="I1003" s="9" t="s">
        <v>5097</v>
      </c>
      <c r="J1003" s="9" t="s">
        <v>3474</v>
      </c>
      <c r="K1003" s="9" t="s">
        <v>1529</v>
      </c>
      <c r="L1003" s="9" t="s">
        <v>5093</v>
      </c>
      <c r="M1003" s="9">
        <v>30</v>
      </c>
      <c r="N1003" s="9">
        <v>8</v>
      </c>
      <c r="O1003" s="9" t="s">
        <v>57</v>
      </c>
      <c r="P1003" s="9" t="s">
        <v>58</v>
      </c>
      <c r="Q1003" s="9">
        <v>7</v>
      </c>
      <c r="R1003" s="9">
        <v>1</v>
      </c>
      <c r="S1003" s="9">
        <v>6</v>
      </c>
      <c r="T1003" s="9">
        <v>7</v>
      </c>
      <c r="U1003" s="9">
        <v>1</v>
      </c>
      <c r="V1003" s="9" t="s">
        <v>142</v>
      </c>
      <c r="W1003" s="9">
        <v>0</v>
      </c>
      <c r="X1003" s="9">
        <v>1</v>
      </c>
      <c r="Y1003" s="9">
        <v>1</v>
      </c>
      <c r="Z1003" s="9">
        <v>1</v>
      </c>
      <c r="AA1003" s="9">
        <v>1</v>
      </c>
      <c r="AB1003" s="9">
        <v>2</v>
      </c>
      <c r="AC1003" s="9">
        <v>14</v>
      </c>
      <c r="AD1003" s="9" t="s">
        <v>0</v>
      </c>
      <c r="AE1003" s="9" t="s">
        <v>60</v>
      </c>
    </row>
    <row r="1004" spans="1:31" ht="38.25" x14ac:dyDescent="0.2">
      <c r="A1004" s="6" t="str">
        <f>HYPERLINK("http://www.patentics.cn/invokexml.do?sx=showpatent_cn&amp;sf=ShowPatent&amp;spn=CN103888151&amp;sx=showpatent_cn&amp;sv=942c7a97a759c60f7e769e13aa502eeb","CN103888151")</f>
        <v>CN103888151</v>
      </c>
      <c r="B1004" s="7" t="s">
        <v>5098</v>
      </c>
      <c r="C1004" s="7" t="s">
        <v>5099</v>
      </c>
      <c r="D1004" s="7" t="s">
        <v>5100</v>
      </c>
      <c r="E1004" s="7" t="s">
        <v>5100</v>
      </c>
      <c r="F1004" s="7" t="s">
        <v>5101</v>
      </c>
      <c r="G1004" s="7" t="s">
        <v>5102</v>
      </c>
      <c r="H1004" s="7" t="s">
        <v>0</v>
      </c>
      <c r="I1004" s="7" t="s">
        <v>5103</v>
      </c>
      <c r="J1004" s="7" t="s">
        <v>5104</v>
      </c>
      <c r="K1004" s="7" t="s">
        <v>1529</v>
      </c>
      <c r="L1004" s="7" t="s">
        <v>5105</v>
      </c>
      <c r="M1004" s="7">
        <v>5</v>
      </c>
      <c r="N1004" s="7">
        <v>27</v>
      </c>
      <c r="O1004" s="7" t="s">
        <v>42</v>
      </c>
      <c r="P1004" s="7" t="s">
        <v>43</v>
      </c>
      <c r="Q1004" s="7">
        <v>1</v>
      </c>
      <c r="R1004" s="7">
        <v>1</v>
      </c>
      <c r="S1004" s="7">
        <v>0</v>
      </c>
      <c r="T1004" s="7">
        <v>1</v>
      </c>
      <c r="U1004" s="7">
        <v>4</v>
      </c>
      <c r="V1004" s="7" t="s">
        <v>5106</v>
      </c>
      <c r="W1004" s="7">
        <v>3</v>
      </c>
      <c r="X1004" s="7">
        <v>1</v>
      </c>
      <c r="Y1004" s="7">
        <v>2</v>
      </c>
      <c r="Z1004" s="7">
        <v>2</v>
      </c>
      <c r="AA1004" s="7">
        <v>0</v>
      </c>
      <c r="AB1004" s="7">
        <v>0</v>
      </c>
      <c r="AC1004" s="7" t="s">
        <v>0</v>
      </c>
      <c r="AD1004" s="7">
        <v>1</v>
      </c>
      <c r="AE1004" s="7" t="s">
        <v>60</v>
      </c>
    </row>
    <row r="1005" spans="1:31" ht="63.75" x14ac:dyDescent="0.2">
      <c r="A1005" s="8" t="str">
        <f>HYPERLINK("http://www.patentics.cn/invokexml.do?sx=showpatent_cn&amp;sf=ShowPatent&amp;spn=WO2017128700&amp;sx=showpatent_cn&amp;sv=882b724767dc6c7982aaf3ff25ba97f1","WO2017128700")</f>
        <v>WO2017128700</v>
      </c>
      <c r="B1005" s="9" t="s">
        <v>5107</v>
      </c>
      <c r="C1005" s="9" t="s">
        <v>5108</v>
      </c>
      <c r="D1005" s="9" t="s">
        <v>117</v>
      </c>
      <c r="E1005" s="9" t="s">
        <v>49</v>
      </c>
      <c r="F1005" s="9" t="s">
        <v>5109</v>
      </c>
      <c r="G1005" s="9" t="s">
        <v>5110</v>
      </c>
      <c r="H1005" s="9" t="s">
        <v>5111</v>
      </c>
      <c r="I1005" s="9" t="s">
        <v>5112</v>
      </c>
      <c r="J1005" s="9" t="s">
        <v>3128</v>
      </c>
      <c r="K1005" s="9" t="s">
        <v>1529</v>
      </c>
      <c r="L1005" s="9" t="s">
        <v>5113</v>
      </c>
      <c r="M1005" s="9">
        <v>30</v>
      </c>
      <c r="N1005" s="9">
        <v>0</v>
      </c>
      <c r="O1005" s="9" t="s">
        <v>850</v>
      </c>
      <c r="P1005" s="9" t="s">
        <v>43</v>
      </c>
      <c r="Q1005" s="9">
        <v>4</v>
      </c>
      <c r="R1005" s="9">
        <v>0</v>
      </c>
      <c r="S1005" s="9">
        <v>4</v>
      </c>
      <c r="T1005" s="9">
        <v>3</v>
      </c>
      <c r="U1005" s="9">
        <v>0</v>
      </c>
      <c r="V1005" s="9" t="s">
        <v>114</v>
      </c>
      <c r="W1005" s="9">
        <v>0</v>
      </c>
      <c r="X1005" s="9">
        <v>0</v>
      </c>
      <c r="Y1005" s="9">
        <v>0</v>
      </c>
      <c r="Z1005" s="9">
        <v>0</v>
      </c>
      <c r="AA1005" s="9">
        <v>1</v>
      </c>
      <c r="AB1005" s="9">
        <v>1</v>
      </c>
      <c r="AC1005" s="9">
        <v>14</v>
      </c>
      <c r="AD1005" s="9" t="s">
        <v>0</v>
      </c>
      <c r="AE1005" s="9" t="s">
        <v>0</v>
      </c>
    </row>
    <row r="1006" spans="1:31" ht="38.25" x14ac:dyDescent="0.2">
      <c r="A1006" s="6" t="str">
        <f>HYPERLINK("http://www.patentics.cn/invokexml.do?sx=showpatent_cn&amp;sf=ShowPatent&amp;spn=CN103873059&amp;sx=showpatent_cn&amp;sv=46f8991de88f64d3b26d1656da84cb39","CN103873059")</f>
        <v>CN103873059</v>
      </c>
      <c r="B1006" s="7" t="s">
        <v>5114</v>
      </c>
      <c r="C1006" s="7" t="s">
        <v>5115</v>
      </c>
      <c r="D1006" s="7" t="s">
        <v>3184</v>
      </c>
      <c r="E1006" s="7" t="s">
        <v>3184</v>
      </c>
      <c r="F1006" s="7" t="s">
        <v>5116</v>
      </c>
      <c r="G1006" s="7" t="s">
        <v>5117</v>
      </c>
      <c r="H1006" s="7" t="s">
        <v>0</v>
      </c>
      <c r="I1006" s="7" t="s">
        <v>5118</v>
      </c>
      <c r="J1006" s="7" t="s">
        <v>5119</v>
      </c>
      <c r="K1006" s="7" t="s">
        <v>1529</v>
      </c>
      <c r="L1006" s="7" t="s">
        <v>5013</v>
      </c>
      <c r="M1006" s="7">
        <v>2</v>
      </c>
      <c r="N1006" s="7">
        <v>72</v>
      </c>
      <c r="O1006" s="7" t="s">
        <v>42</v>
      </c>
      <c r="P1006" s="7" t="s">
        <v>43</v>
      </c>
      <c r="Q1006" s="7">
        <v>0</v>
      </c>
      <c r="R1006" s="7">
        <v>0</v>
      </c>
      <c r="S1006" s="7">
        <v>0</v>
      </c>
      <c r="T1006" s="7">
        <v>0</v>
      </c>
      <c r="U1006" s="7">
        <v>2</v>
      </c>
      <c r="V1006" s="7" t="s">
        <v>3502</v>
      </c>
      <c r="W1006" s="7">
        <v>0</v>
      </c>
      <c r="X1006" s="7">
        <v>2</v>
      </c>
      <c r="Y1006" s="7">
        <v>2</v>
      </c>
      <c r="Z1006" s="7">
        <v>2</v>
      </c>
      <c r="AA1006" s="7">
        <v>0</v>
      </c>
      <c r="AB1006" s="7">
        <v>0</v>
      </c>
      <c r="AC1006" s="7" t="s">
        <v>0</v>
      </c>
      <c r="AD1006" s="7">
        <v>1</v>
      </c>
      <c r="AE1006" s="7" t="s">
        <v>60</v>
      </c>
    </row>
    <row r="1007" spans="1:31" ht="51" x14ac:dyDescent="0.2">
      <c r="A1007" s="8" t="str">
        <f>HYPERLINK("http://www.patentics.cn/invokexml.do?sx=showpatent_cn&amp;sf=ShowPatent&amp;spn=US9608658&amp;sx=showpatent_cn&amp;sv=a4fc6e163013bcee75076f9a3b9b2c7b","US9608658")</f>
        <v>US9608658</v>
      </c>
      <c r="B1007" s="9" t="s">
        <v>5014</v>
      </c>
      <c r="C1007" s="9" t="s">
        <v>5015</v>
      </c>
      <c r="D1007" s="9" t="s">
        <v>48</v>
      </c>
      <c r="E1007" s="9" t="s">
        <v>49</v>
      </c>
      <c r="F1007" s="9" t="s">
        <v>5016</v>
      </c>
      <c r="G1007" s="9" t="s">
        <v>5017</v>
      </c>
      <c r="H1007" s="9" t="s">
        <v>1437</v>
      </c>
      <c r="I1007" s="9" t="s">
        <v>2080</v>
      </c>
      <c r="J1007" s="9" t="s">
        <v>1215</v>
      </c>
      <c r="K1007" s="9" t="s">
        <v>1529</v>
      </c>
      <c r="L1007" s="9" t="s">
        <v>5018</v>
      </c>
      <c r="M1007" s="9">
        <v>25</v>
      </c>
      <c r="N1007" s="9">
        <v>16</v>
      </c>
      <c r="O1007" s="9" t="s">
        <v>57</v>
      </c>
      <c r="P1007" s="9" t="s">
        <v>58</v>
      </c>
      <c r="Q1007" s="9">
        <v>15</v>
      </c>
      <c r="R1007" s="9">
        <v>0</v>
      </c>
      <c r="S1007" s="9">
        <v>15</v>
      </c>
      <c r="T1007" s="9">
        <v>13</v>
      </c>
      <c r="U1007" s="9">
        <v>0</v>
      </c>
      <c r="V1007" s="9" t="s">
        <v>114</v>
      </c>
      <c r="W1007" s="9">
        <v>0</v>
      </c>
      <c r="X1007" s="9">
        <v>0</v>
      </c>
      <c r="Y1007" s="9">
        <v>0</v>
      </c>
      <c r="Z1007" s="9">
        <v>0</v>
      </c>
      <c r="AA1007" s="9">
        <v>2</v>
      </c>
      <c r="AB1007" s="9">
        <v>2</v>
      </c>
      <c r="AC1007" s="9">
        <v>14</v>
      </c>
      <c r="AD1007" s="9" t="s">
        <v>0</v>
      </c>
      <c r="AE1007" s="9" t="s">
        <v>60</v>
      </c>
    </row>
    <row r="1008" spans="1:31" ht="38.25" x14ac:dyDescent="0.2">
      <c r="A1008" s="6" t="str">
        <f>HYPERLINK("http://www.patentics.cn/invokexml.do?sx=showpatent_cn&amp;sf=ShowPatent&amp;spn=CN203607929&amp;sx=showpatent_cn&amp;sv=859cad3bfde2fa07d540a5818ceb749d","CN203607929")</f>
        <v>CN203607929</v>
      </c>
      <c r="B1008" s="7" t="s">
        <v>5120</v>
      </c>
      <c r="C1008" s="7" t="s">
        <v>5121</v>
      </c>
      <c r="D1008" s="7" t="s">
        <v>5122</v>
      </c>
      <c r="E1008" s="7" t="s">
        <v>5122</v>
      </c>
      <c r="F1008" s="7" t="s">
        <v>5123</v>
      </c>
      <c r="G1008" s="7" t="s">
        <v>5124</v>
      </c>
      <c r="H1008" s="7" t="s">
        <v>0</v>
      </c>
      <c r="I1008" s="7" t="s">
        <v>95</v>
      </c>
      <c r="J1008" s="7" t="s">
        <v>5125</v>
      </c>
      <c r="K1008" s="7" t="s">
        <v>580</v>
      </c>
      <c r="L1008" s="7" t="s">
        <v>589</v>
      </c>
      <c r="M1008" s="7">
        <v>2</v>
      </c>
      <c r="N1008" s="7">
        <v>21</v>
      </c>
      <c r="O1008" s="7" t="s">
        <v>2185</v>
      </c>
      <c r="P1008" s="7" t="s">
        <v>43</v>
      </c>
      <c r="Q1008" s="7">
        <v>0</v>
      </c>
      <c r="R1008" s="7">
        <v>0</v>
      </c>
      <c r="S1008" s="7">
        <v>0</v>
      </c>
      <c r="T1008" s="7">
        <v>0</v>
      </c>
      <c r="U1008" s="7">
        <v>1</v>
      </c>
      <c r="V1008" s="7" t="s">
        <v>1591</v>
      </c>
      <c r="W1008" s="7">
        <v>0</v>
      </c>
      <c r="X1008" s="7">
        <v>1</v>
      </c>
      <c r="Y1008" s="7">
        <v>1</v>
      </c>
      <c r="Z1008" s="7">
        <v>1</v>
      </c>
      <c r="AA1008" s="7">
        <v>0</v>
      </c>
      <c r="AB1008" s="7">
        <v>0</v>
      </c>
      <c r="AC1008" s="7" t="s">
        <v>0</v>
      </c>
      <c r="AD1008" s="7">
        <v>1</v>
      </c>
      <c r="AE1008" s="7" t="s">
        <v>60</v>
      </c>
    </row>
    <row r="1009" spans="1:31" ht="51" x14ac:dyDescent="0.2">
      <c r="A1009" s="8" t="str">
        <f>HYPERLINK("http://www.patentics.cn/invokexml.do?sx=showpatent_cn&amp;sf=ShowPatent&amp;spn=WO2016205668&amp;sx=showpatent_cn&amp;sv=0d5411605fe6afc4b9da2450fc5a8993","WO2016205668")</f>
        <v>WO2016205668</v>
      </c>
      <c r="B1009" s="9" t="s">
        <v>5000</v>
      </c>
      <c r="C1009" s="9" t="s">
        <v>5001</v>
      </c>
      <c r="D1009" s="9" t="s">
        <v>117</v>
      </c>
      <c r="E1009" s="9" t="s">
        <v>49</v>
      </c>
      <c r="F1009" s="9" t="s">
        <v>5002</v>
      </c>
      <c r="G1009" s="9" t="s">
        <v>5003</v>
      </c>
      <c r="H1009" s="9" t="s">
        <v>5004</v>
      </c>
      <c r="I1009" s="9" t="s">
        <v>5005</v>
      </c>
      <c r="J1009" s="9" t="s">
        <v>3127</v>
      </c>
      <c r="K1009" s="9" t="s">
        <v>580</v>
      </c>
      <c r="L1009" s="9" t="s">
        <v>5006</v>
      </c>
      <c r="M1009" s="9">
        <v>30</v>
      </c>
      <c r="N1009" s="9">
        <v>23</v>
      </c>
      <c r="O1009" s="9" t="s">
        <v>850</v>
      </c>
      <c r="P1009" s="9" t="s">
        <v>58</v>
      </c>
      <c r="Q1009" s="9">
        <v>4</v>
      </c>
      <c r="R1009" s="9">
        <v>1</v>
      </c>
      <c r="S1009" s="9">
        <v>3</v>
      </c>
      <c r="T1009" s="9">
        <v>4</v>
      </c>
      <c r="U1009" s="9">
        <v>0</v>
      </c>
      <c r="V1009" s="9" t="s">
        <v>114</v>
      </c>
      <c r="W1009" s="9">
        <v>0</v>
      </c>
      <c r="X1009" s="9">
        <v>0</v>
      </c>
      <c r="Y1009" s="9">
        <v>0</v>
      </c>
      <c r="Z1009" s="9">
        <v>0</v>
      </c>
      <c r="AA1009" s="9">
        <v>1</v>
      </c>
      <c r="AB1009" s="9">
        <v>2</v>
      </c>
      <c r="AC1009" s="9">
        <v>14</v>
      </c>
      <c r="AD1009" s="9" t="s">
        <v>0</v>
      </c>
      <c r="AE1009" s="9" t="s">
        <v>0</v>
      </c>
    </row>
    <row r="1010" spans="1:31" ht="51" x14ac:dyDescent="0.2">
      <c r="A1010" s="6" t="str">
        <f>HYPERLINK("http://www.patentics.cn/invokexml.do?sx=showpatent_cn&amp;sf=ShowPatent&amp;spn=CN103796223&amp;sx=showpatent_cn&amp;sv=eaf1c9fce4e6e0336f29d11b93c39c65","CN103796223")</f>
        <v>CN103796223</v>
      </c>
      <c r="B1010" s="7" t="s">
        <v>5126</v>
      </c>
      <c r="C1010" s="7" t="s">
        <v>5127</v>
      </c>
      <c r="D1010" s="7" t="s">
        <v>5128</v>
      </c>
      <c r="E1010" s="7" t="s">
        <v>2320</v>
      </c>
      <c r="F1010" s="7" t="s">
        <v>5129</v>
      </c>
      <c r="G1010" s="7" t="s">
        <v>5130</v>
      </c>
      <c r="H1010" s="7" t="s">
        <v>0</v>
      </c>
      <c r="I1010" s="7" t="s">
        <v>5131</v>
      </c>
      <c r="J1010" s="7" t="s">
        <v>2155</v>
      </c>
      <c r="K1010" s="7" t="s">
        <v>55</v>
      </c>
      <c r="L1010" s="7" t="s">
        <v>947</v>
      </c>
      <c r="M1010" s="7">
        <v>6</v>
      </c>
      <c r="N1010" s="7">
        <v>21</v>
      </c>
      <c r="O1010" s="7" t="s">
        <v>42</v>
      </c>
      <c r="P1010" s="7" t="s">
        <v>43</v>
      </c>
      <c r="Q1010" s="7">
        <v>0</v>
      </c>
      <c r="R1010" s="7">
        <v>0</v>
      </c>
      <c r="S1010" s="7">
        <v>0</v>
      </c>
      <c r="T1010" s="7">
        <v>0</v>
      </c>
      <c r="U1010" s="7">
        <v>1</v>
      </c>
      <c r="V1010" s="7" t="s">
        <v>1591</v>
      </c>
      <c r="W1010" s="7">
        <v>0</v>
      </c>
      <c r="X1010" s="7">
        <v>1</v>
      </c>
      <c r="Y1010" s="7">
        <v>1</v>
      </c>
      <c r="Z1010" s="7">
        <v>1</v>
      </c>
      <c r="AA1010" s="7">
        <v>0</v>
      </c>
      <c r="AB1010" s="7">
        <v>0</v>
      </c>
      <c r="AC1010" s="7" t="s">
        <v>0</v>
      </c>
      <c r="AD1010" s="7">
        <v>1</v>
      </c>
      <c r="AE1010" s="7" t="s">
        <v>60</v>
      </c>
    </row>
    <row r="1011" spans="1:31" ht="102" x14ac:dyDescent="0.2">
      <c r="A1011" s="8" t="str">
        <f>HYPERLINK("http://www.patentics.cn/invokexml.do?sx=showpatent_cn&amp;sf=ShowPatent&amp;spn=WO2016054769&amp;sx=showpatent_cn&amp;sv=21101af7b4fd1d9dc3b58243f1553659","WO2016054769")</f>
        <v>WO2016054769</v>
      </c>
      <c r="B1011" s="9" t="s">
        <v>5132</v>
      </c>
      <c r="C1011" s="9" t="s">
        <v>5133</v>
      </c>
      <c r="D1011" s="9" t="s">
        <v>117</v>
      </c>
      <c r="E1011" s="9" t="s">
        <v>49</v>
      </c>
      <c r="F1011" s="9" t="s">
        <v>5134</v>
      </c>
      <c r="G1011" s="9" t="s">
        <v>5135</v>
      </c>
      <c r="H1011" s="9" t="s">
        <v>0</v>
      </c>
      <c r="I1011" s="9" t="s">
        <v>5136</v>
      </c>
      <c r="J1011" s="9" t="s">
        <v>5137</v>
      </c>
      <c r="K1011" s="9" t="s">
        <v>55</v>
      </c>
      <c r="L1011" s="9" t="s">
        <v>947</v>
      </c>
      <c r="M1011" s="9">
        <v>30</v>
      </c>
      <c r="N1011" s="9">
        <v>0</v>
      </c>
      <c r="O1011" s="9" t="s">
        <v>850</v>
      </c>
      <c r="P1011" s="9" t="s">
        <v>1932</v>
      </c>
      <c r="Q1011" s="9">
        <v>4</v>
      </c>
      <c r="R1011" s="9">
        <v>0</v>
      </c>
      <c r="S1011" s="9">
        <v>4</v>
      </c>
      <c r="T1011" s="9">
        <v>3</v>
      </c>
      <c r="U1011" s="9">
        <v>0</v>
      </c>
      <c r="V1011" s="9" t="s">
        <v>114</v>
      </c>
      <c r="W1011" s="9">
        <v>0</v>
      </c>
      <c r="X1011" s="9">
        <v>0</v>
      </c>
      <c r="Y1011" s="9">
        <v>0</v>
      </c>
      <c r="Z1011" s="9">
        <v>0</v>
      </c>
      <c r="AA1011" s="9">
        <v>0</v>
      </c>
      <c r="AB1011" s="9">
        <v>0</v>
      </c>
      <c r="AC1011" s="9">
        <v>14</v>
      </c>
      <c r="AD1011" s="9" t="s">
        <v>0</v>
      </c>
      <c r="AE1011" s="9" t="s">
        <v>0</v>
      </c>
    </row>
    <row r="1012" spans="1:31" ht="51" x14ac:dyDescent="0.2">
      <c r="A1012" s="6" t="str">
        <f>HYPERLINK("http://www.patentics.cn/invokexml.do?sx=showpatent_cn&amp;sf=ShowPatent&amp;spn=CN103778958&amp;sx=showpatent_cn&amp;sv=41d364a8e2bee62ea6ed539e6dcb8f39","CN103778958")</f>
        <v>CN103778958</v>
      </c>
      <c r="B1012" s="7" t="s">
        <v>5138</v>
      </c>
      <c r="C1012" s="7" t="s">
        <v>5139</v>
      </c>
      <c r="D1012" s="7" t="s">
        <v>5140</v>
      </c>
      <c r="E1012" s="7" t="s">
        <v>5141</v>
      </c>
      <c r="F1012" s="7" t="s">
        <v>5142</v>
      </c>
      <c r="G1012" s="7" t="s">
        <v>5143</v>
      </c>
      <c r="H1012" s="7" t="s">
        <v>3251</v>
      </c>
      <c r="I1012" s="7" t="s">
        <v>5144</v>
      </c>
      <c r="J1012" s="7" t="s">
        <v>2647</v>
      </c>
      <c r="K1012" s="7" t="s">
        <v>3305</v>
      </c>
      <c r="L1012" s="7" t="s">
        <v>5145</v>
      </c>
      <c r="M1012" s="7">
        <v>20</v>
      </c>
      <c r="N1012" s="7">
        <v>18</v>
      </c>
      <c r="O1012" s="7" t="s">
        <v>42</v>
      </c>
      <c r="P1012" s="7" t="s">
        <v>341</v>
      </c>
      <c r="Q1012" s="7">
        <v>0</v>
      </c>
      <c r="R1012" s="7">
        <v>0</v>
      </c>
      <c r="S1012" s="7">
        <v>0</v>
      </c>
      <c r="T1012" s="7">
        <v>0</v>
      </c>
      <c r="U1012" s="7">
        <v>1</v>
      </c>
      <c r="V1012" s="7" t="s">
        <v>78</v>
      </c>
      <c r="W1012" s="7">
        <v>0</v>
      </c>
      <c r="X1012" s="7">
        <v>1</v>
      </c>
      <c r="Y1012" s="7">
        <v>1</v>
      </c>
      <c r="Z1012" s="7">
        <v>1</v>
      </c>
      <c r="AA1012" s="7">
        <v>5</v>
      </c>
      <c r="AB1012" s="7">
        <v>4</v>
      </c>
      <c r="AC1012" s="7" t="s">
        <v>0</v>
      </c>
      <c r="AD1012" s="7">
        <v>1</v>
      </c>
      <c r="AE1012" s="7" t="s">
        <v>3651</v>
      </c>
    </row>
    <row r="1013" spans="1:31" ht="63.75" x14ac:dyDescent="0.2">
      <c r="A1013" s="8" t="str">
        <f>HYPERLINK("http://www.patentics.cn/invokexml.do?sx=showpatent_cn&amp;sf=ShowPatent&amp;spn=WO2017127973&amp;sx=showpatent_cn&amp;sv=6b4eb4a1650467f2971adf85e1b7f133","WO2017127973")</f>
        <v>WO2017127973</v>
      </c>
      <c r="B1013" s="9" t="s">
        <v>5146</v>
      </c>
      <c r="C1013" s="9" t="s">
        <v>5108</v>
      </c>
      <c r="D1013" s="9" t="s">
        <v>117</v>
      </c>
      <c r="E1013" s="9" t="s">
        <v>49</v>
      </c>
      <c r="F1013" s="9" t="s">
        <v>5109</v>
      </c>
      <c r="G1013" s="9" t="s">
        <v>5110</v>
      </c>
      <c r="H1013" s="9" t="s">
        <v>5111</v>
      </c>
      <c r="I1013" s="9" t="s">
        <v>5111</v>
      </c>
      <c r="J1013" s="9" t="s">
        <v>3128</v>
      </c>
      <c r="K1013" s="9" t="s">
        <v>68</v>
      </c>
      <c r="L1013" s="9" t="s">
        <v>1668</v>
      </c>
      <c r="M1013" s="9">
        <v>16</v>
      </c>
      <c r="N1013" s="9">
        <v>0</v>
      </c>
      <c r="O1013" s="9" t="s">
        <v>850</v>
      </c>
      <c r="P1013" s="9" t="s">
        <v>43</v>
      </c>
      <c r="Q1013" s="9">
        <v>5</v>
      </c>
      <c r="R1013" s="9">
        <v>0</v>
      </c>
      <c r="S1013" s="9">
        <v>5</v>
      </c>
      <c r="T1013" s="9">
        <v>3</v>
      </c>
      <c r="U1013" s="9">
        <v>0</v>
      </c>
      <c r="V1013" s="9" t="s">
        <v>114</v>
      </c>
      <c r="W1013" s="9">
        <v>0</v>
      </c>
      <c r="X1013" s="9">
        <v>0</v>
      </c>
      <c r="Y1013" s="9">
        <v>0</v>
      </c>
      <c r="Z1013" s="9">
        <v>0</v>
      </c>
      <c r="AA1013" s="9">
        <v>1</v>
      </c>
      <c r="AB1013" s="9">
        <v>1</v>
      </c>
      <c r="AC1013" s="9">
        <v>14</v>
      </c>
      <c r="AD1013" s="9" t="s">
        <v>0</v>
      </c>
      <c r="AE1013" s="9" t="s">
        <v>0</v>
      </c>
    </row>
    <row r="1014" spans="1:31" ht="25.5" x14ac:dyDescent="0.2">
      <c r="A1014" s="6" t="str">
        <f>HYPERLINK("http://www.patentics.cn/invokexml.do?sx=showpatent_cn&amp;sf=ShowPatent&amp;spn=CN103761284&amp;sx=showpatent_cn&amp;sv=b9f53f279cb1b2f53acfa4abc7096277","CN103761284")</f>
        <v>CN103761284</v>
      </c>
      <c r="B1014" s="7" t="s">
        <v>5147</v>
      </c>
      <c r="C1014" s="7" t="s">
        <v>5148</v>
      </c>
      <c r="D1014" s="7" t="s">
        <v>5149</v>
      </c>
      <c r="E1014" s="7" t="s">
        <v>5149</v>
      </c>
      <c r="F1014" s="7" t="s">
        <v>5150</v>
      </c>
      <c r="G1014" s="7" t="s">
        <v>5151</v>
      </c>
      <c r="H1014" s="7" t="s">
        <v>0</v>
      </c>
      <c r="I1014" s="7" t="s">
        <v>5131</v>
      </c>
      <c r="J1014" s="7" t="s">
        <v>3708</v>
      </c>
      <c r="K1014" s="7" t="s">
        <v>885</v>
      </c>
      <c r="L1014" s="7" t="s">
        <v>2325</v>
      </c>
      <c r="M1014" s="7">
        <v>10</v>
      </c>
      <c r="N1014" s="7">
        <v>10</v>
      </c>
      <c r="O1014" s="7" t="s">
        <v>42</v>
      </c>
      <c r="P1014" s="7" t="s">
        <v>43</v>
      </c>
      <c r="Q1014" s="7">
        <v>0</v>
      </c>
      <c r="R1014" s="7">
        <v>0</v>
      </c>
      <c r="S1014" s="7">
        <v>0</v>
      </c>
      <c r="T1014" s="7">
        <v>0</v>
      </c>
      <c r="U1014" s="7">
        <v>1</v>
      </c>
      <c r="V1014" s="7" t="s">
        <v>1591</v>
      </c>
      <c r="W1014" s="7">
        <v>0</v>
      </c>
      <c r="X1014" s="7">
        <v>1</v>
      </c>
      <c r="Y1014" s="7">
        <v>1</v>
      </c>
      <c r="Z1014" s="7">
        <v>1</v>
      </c>
      <c r="AA1014" s="7">
        <v>0</v>
      </c>
      <c r="AB1014" s="7">
        <v>0</v>
      </c>
      <c r="AC1014" s="7" t="s">
        <v>0</v>
      </c>
      <c r="AD1014" s="7">
        <v>1</v>
      </c>
      <c r="AE1014" s="7" t="s">
        <v>3651</v>
      </c>
    </row>
    <row r="1015" spans="1:31" ht="51" x14ac:dyDescent="0.2">
      <c r="A1015" s="8" t="str">
        <f>HYPERLINK("http://www.patentics.cn/invokexml.do?sx=showpatent_cn&amp;sf=ShowPatent&amp;spn=WO2017049577&amp;sx=showpatent_cn&amp;sv=2fb0a8ab2c5882fd7eeead4bd54e399c","WO2017049577")</f>
        <v>WO2017049577</v>
      </c>
      <c r="B1015" s="9" t="s">
        <v>5152</v>
      </c>
      <c r="C1015" s="9" t="s">
        <v>5153</v>
      </c>
      <c r="D1015" s="9" t="s">
        <v>117</v>
      </c>
      <c r="E1015" s="9" t="s">
        <v>49</v>
      </c>
      <c r="F1015" s="9" t="s">
        <v>5154</v>
      </c>
      <c r="G1015" s="9" t="s">
        <v>5155</v>
      </c>
      <c r="H1015" s="9" t="s">
        <v>0</v>
      </c>
      <c r="I1015" s="9" t="s">
        <v>1437</v>
      </c>
      <c r="J1015" s="9" t="s">
        <v>5156</v>
      </c>
      <c r="K1015" s="9" t="s">
        <v>885</v>
      </c>
      <c r="L1015" s="9" t="s">
        <v>2325</v>
      </c>
      <c r="M1015" s="9">
        <v>30</v>
      </c>
      <c r="N1015" s="9">
        <v>0</v>
      </c>
      <c r="O1015" s="9" t="s">
        <v>850</v>
      </c>
      <c r="P1015" s="9" t="s">
        <v>1932</v>
      </c>
      <c r="Q1015" s="9">
        <v>4</v>
      </c>
      <c r="R1015" s="9">
        <v>0</v>
      </c>
      <c r="S1015" s="9">
        <v>4</v>
      </c>
      <c r="T1015" s="9">
        <v>4</v>
      </c>
      <c r="U1015" s="9">
        <v>0</v>
      </c>
      <c r="V1015" s="9" t="s">
        <v>114</v>
      </c>
      <c r="W1015" s="9">
        <v>0</v>
      </c>
      <c r="X1015" s="9">
        <v>0</v>
      </c>
      <c r="Y1015" s="9">
        <v>0</v>
      </c>
      <c r="Z1015" s="9">
        <v>0</v>
      </c>
      <c r="AA1015" s="9">
        <v>0</v>
      </c>
      <c r="AB1015" s="9">
        <v>0</v>
      </c>
      <c r="AC1015" s="9">
        <v>14</v>
      </c>
      <c r="AD1015" s="9" t="s">
        <v>0</v>
      </c>
      <c r="AE1015" s="9" t="s">
        <v>0</v>
      </c>
    </row>
    <row r="1016" spans="1:31" ht="25.5" x14ac:dyDescent="0.2">
      <c r="A1016" s="6" t="str">
        <f>HYPERLINK("http://www.patentics.cn/invokexml.do?sx=showpatent_cn&amp;sf=ShowPatent&amp;spn=CN103701510&amp;sx=showpatent_cn&amp;sv=9594500931f7606fc53d75064bf0f4e8","CN103701510")</f>
        <v>CN103701510</v>
      </c>
      <c r="B1016" s="7" t="s">
        <v>5157</v>
      </c>
      <c r="C1016" s="7" t="s">
        <v>5158</v>
      </c>
      <c r="D1016" s="7" t="s">
        <v>1341</v>
      </c>
      <c r="E1016" s="7" t="s">
        <v>1341</v>
      </c>
      <c r="F1016" s="7" t="s">
        <v>5159</v>
      </c>
      <c r="G1016" s="7" t="s">
        <v>5160</v>
      </c>
      <c r="H1016" s="7" t="s">
        <v>0</v>
      </c>
      <c r="I1016" s="7" t="s">
        <v>1408</v>
      </c>
      <c r="J1016" s="7" t="s">
        <v>4947</v>
      </c>
      <c r="K1016" s="7" t="s">
        <v>89</v>
      </c>
      <c r="L1016" s="7" t="s">
        <v>340</v>
      </c>
      <c r="M1016" s="7">
        <v>2</v>
      </c>
      <c r="N1016" s="7">
        <v>22</v>
      </c>
      <c r="O1016" s="7" t="s">
        <v>42</v>
      </c>
      <c r="P1016" s="7" t="s">
        <v>43</v>
      </c>
      <c r="Q1016" s="7">
        <v>0</v>
      </c>
      <c r="R1016" s="7">
        <v>0</v>
      </c>
      <c r="S1016" s="7">
        <v>0</v>
      </c>
      <c r="T1016" s="7">
        <v>0</v>
      </c>
      <c r="U1016" s="7">
        <v>1</v>
      </c>
      <c r="V1016" s="7" t="s">
        <v>515</v>
      </c>
      <c r="W1016" s="7">
        <v>0</v>
      </c>
      <c r="X1016" s="7">
        <v>1</v>
      </c>
      <c r="Y1016" s="7">
        <v>1</v>
      </c>
      <c r="Z1016" s="7">
        <v>1</v>
      </c>
      <c r="AA1016" s="7">
        <v>0</v>
      </c>
      <c r="AB1016" s="7">
        <v>0</v>
      </c>
      <c r="AC1016" s="7" t="s">
        <v>0</v>
      </c>
      <c r="AD1016" s="7">
        <v>1</v>
      </c>
      <c r="AE1016" s="7" t="s">
        <v>60</v>
      </c>
    </row>
    <row r="1017" spans="1:31" ht="76.5" x14ac:dyDescent="0.2">
      <c r="A1017" s="8" t="str">
        <f>HYPERLINK("http://www.patentics.cn/invokexml.do?sx=showpatent_cn&amp;sf=ShowPatent&amp;spn=US9407298&amp;sx=showpatent_cn&amp;sv=4dde8abe7a3213bedd7fc13091b6127d","US9407298")</f>
        <v>US9407298</v>
      </c>
      <c r="B1017" s="9" t="s">
        <v>5161</v>
      </c>
      <c r="C1017" s="9" t="s">
        <v>5162</v>
      </c>
      <c r="D1017" s="9" t="s">
        <v>48</v>
      </c>
      <c r="E1017" s="9" t="s">
        <v>49</v>
      </c>
      <c r="F1017" s="9" t="s">
        <v>5163</v>
      </c>
      <c r="G1017" s="9" t="s">
        <v>5164</v>
      </c>
      <c r="H1017" s="9" t="s">
        <v>0</v>
      </c>
      <c r="I1017" s="9" t="s">
        <v>3319</v>
      </c>
      <c r="J1017" s="9" t="s">
        <v>275</v>
      </c>
      <c r="K1017" s="9" t="s">
        <v>89</v>
      </c>
      <c r="L1017" s="9" t="s">
        <v>5165</v>
      </c>
      <c r="M1017" s="9">
        <v>29</v>
      </c>
      <c r="N1017" s="9">
        <v>8</v>
      </c>
      <c r="O1017" s="9" t="s">
        <v>57</v>
      </c>
      <c r="P1017" s="9" t="s">
        <v>58</v>
      </c>
      <c r="Q1017" s="9">
        <v>11</v>
      </c>
      <c r="R1017" s="9">
        <v>1</v>
      </c>
      <c r="S1017" s="9">
        <v>10</v>
      </c>
      <c r="T1017" s="9">
        <v>11</v>
      </c>
      <c r="U1017" s="9">
        <v>0</v>
      </c>
      <c r="V1017" s="9" t="s">
        <v>114</v>
      </c>
      <c r="W1017" s="9">
        <v>0</v>
      </c>
      <c r="X1017" s="9">
        <v>0</v>
      </c>
      <c r="Y1017" s="9">
        <v>0</v>
      </c>
      <c r="Z1017" s="9">
        <v>0</v>
      </c>
      <c r="AA1017" s="9">
        <v>0</v>
      </c>
      <c r="AB1017" s="9">
        <v>0</v>
      </c>
      <c r="AC1017" s="9">
        <v>14</v>
      </c>
      <c r="AD1017" s="9" t="s">
        <v>0</v>
      </c>
      <c r="AE1017" s="9" t="s">
        <v>60</v>
      </c>
    </row>
    <row r="1018" spans="1:31" ht="51" x14ac:dyDescent="0.2">
      <c r="A1018" s="6" t="str">
        <f>HYPERLINK("http://www.patentics.cn/invokexml.do?sx=showpatent_cn&amp;sf=ShowPatent&amp;spn=CN103686909&amp;sx=showpatent_cn&amp;sv=8c5bb8b976ea1dac658f3eed74049965","CN103686909")</f>
        <v>CN103686909</v>
      </c>
      <c r="B1018" s="7" t="s">
        <v>5166</v>
      </c>
      <c r="C1018" s="7" t="s">
        <v>5167</v>
      </c>
      <c r="D1018" s="7" t="s">
        <v>1097</v>
      </c>
      <c r="E1018" s="7" t="s">
        <v>1097</v>
      </c>
      <c r="F1018" s="7" t="s">
        <v>5168</v>
      </c>
      <c r="G1018" s="7" t="s">
        <v>5169</v>
      </c>
      <c r="H1018" s="7" t="s">
        <v>0</v>
      </c>
      <c r="I1018" s="7" t="s">
        <v>4482</v>
      </c>
      <c r="J1018" s="7" t="s">
        <v>5170</v>
      </c>
      <c r="K1018" s="7" t="s">
        <v>55</v>
      </c>
      <c r="L1018" s="7" t="s">
        <v>5171</v>
      </c>
      <c r="M1018" s="7">
        <v>6</v>
      </c>
      <c r="N1018" s="7">
        <v>18</v>
      </c>
      <c r="O1018" s="7" t="s">
        <v>42</v>
      </c>
      <c r="P1018" s="7" t="s">
        <v>43</v>
      </c>
      <c r="Q1018" s="7">
        <v>0</v>
      </c>
      <c r="R1018" s="7">
        <v>0</v>
      </c>
      <c r="S1018" s="7">
        <v>0</v>
      </c>
      <c r="T1018" s="7">
        <v>0</v>
      </c>
      <c r="U1018" s="7">
        <v>3</v>
      </c>
      <c r="V1018" s="7" t="s">
        <v>3882</v>
      </c>
      <c r="W1018" s="7">
        <v>0</v>
      </c>
      <c r="X1018" s="7">
        <v>3</v>
      </c>
      <c r="Y1018" s="7">
        <v>3</v>
      </c>
      <c r="Z1018" s="7">
        <v>1</v>
      </c>
      <c r="AA1018" s="7">
        <v>0</v>
      </c>
      <c r="AB1018" s="7">
        <v>0</v>
      </c>
      <c r="AC1018" s="7" t="s">
        <v>0</v>
      </c>
      <c r="AD1018" s="7">
        <v>1</v>
      </c>
      <c r="AE1018" s="7" t="s">
        <v>3651</v>
      </c>
    </row>
    <row r="1019" spans="1:31" ht="204" x14ac:dyDescent="0.2">
      <c r="A1019" s="8" t="str">
        <f>HYPERLINK("http://www.patentics.cn/invokexml.do?sx=showpatent_cn&amp;sf=ShowPatent&amp;spn=WO2016025475&amp;sx=showpatent_cn&amp;sv=7eae5309172c3ba2a58a5822202b1c18","WO2016025475")</f>
        <v>WO2016025475</v>
      </c>
      <c r="B1019" s="9" t="s">
        <v>5172</v>
      </c>
      <c r="C1019" s="9" t="s">
        <v>5173</v>
      </c>
      <c r="D1019" s="9" t="s">
        <v>117</v>
      </c>
      <c r="E1019" s="9" t="s">
        <v>49</v>
      </c>
      <c r="F1019" s="9" t="s">
        <v>5174</v>
      </c>
      <c r="G1019" s="9" t="s">
        <v>5175</v>
      </c>
      <c r="H1019" s="9" t="s">
        <v>3069</v>
      </c>
      <c r="I1019" s="9" t="s">
        <v>874</v>
      </c>
      <c r="J1019" s="9" t="s">
        <v>3078</v>
      </c>
      <c r="K1019" s="9" t="s">
        <v>55</v>
      </c>
      <c r="L1019" s="9" t="s">
        <v>5176</v>
      </c>
      <c r="M1019" s="9">
        <v>29</v>
      </c>
      <c r="N1019" s="9">
        <v>10</v>
      </c>
      <c r="O1019" s="9" t="s">
        <v>850</v>
      </c>
      <c r="P1019" s="9" t="s">
        <v>58</v>
      </c>
      <c r="Q1019" s="9">
        <v>8</v>
      </c>
      <c r="R1019" s="9">
        <v>1</v>
      </c>
      <c r="S1019" s="9">
        <v>7</v>
      </c>
      <c r="T1019" s="9">
        <v>6</v>
      </c>
      <c r="U1019" s="9">
        <v>1</v>
      </c>
      <c r="V1019" s="9" t="s">
        <v>1236</v>
      </c>
      <c r="W1019" s="9">
        <v>0</v>
      </c>
      <c r="X1019" s="9">
        <v>1</v>
      </c>
      <c r="Y1019" s="9">
        <v>1</v>
      </c>
      <c r="Z1019" s="9">
        <v>1</v>
      </c>
      <c r="AA1019" s="9">
        <v>1</v>
      </c>
      <c r="AB1019" s="9">
        <v>2</v>
      </c>
      <c r="AC1019" s="9">
        <v>14</v>
      </c>
      <c r="AD1019" s="9" t="s">
        <v>0</v>
      </c>
      <c r="AE1019" s="9" t="s">
        <v>0</v>
      </c>
    </row>
    <row r="1020" spans="1:31" ht="51" x14ac:dyDescent="0.2">
      <c r="A1020" s="6" t="str">
        <f>HYPERLINK("http://www.patentics.cn/invokexml.do?sx=showpatent_cn&amp;sf=ShowPatent&amp;spn=CN103440624&amp;sx=showpatent_cn&amp;sv=2e710bfde5effa79f3c06ee402cee39c","CN103440624")</f>
        <v>CN103440624</v>
      </c>
      <c r="B1020" s="7" t="s">
        <v>5177</v>
      </c>
      <c r="C1020" s="7" t="s">
        <v>5178</v>
      </c>
      <c r="D1020" s="7" t="s">
        <v>432</v>
      </c>
      <c r="E1020" s="7" t="s">
        <v>432</v>
      </c>
      <c r="F1020" s="7" t="s">
        <v>5179</v>
      </c>
      <c r="G1020" s="7" t="s">
        <v>5180</v>
      </c>
      <c r="H1020" s="7" t="s">
        <v>5181</v>
      </c>
      <c r="I1020" s="7" t="s">
        <v>5181</v>
      </c>
      <c r="J1020" s="7" t="s">
        <v>4482</v>
      </c>
      <c r="K1020" s="7" t="s">
        <v>2163</v>
      </c>
      <c r="L1020" s="7" t="s">
        <v>3239</v>
      </c>
      <c r="M1020" s="7">
        <v>8</v>
      </c>
      <c r="N1020" s="7">
        <v>16</v>
      </c>
      <c r="O1020" s="7" t="s">
        <v>42</v>
      </c>
      <c r="P1020" s="7" t="s">
        <v>43</v>
      </c>
      <c r="Q1020" s="7">
        <v>0</v>
      </c>
      <c r="R1020" s="7">
        <v>0</v>
      </c>
      <c r="S1020" s="7">
        <v>0</v>
      </c>
      <c r="T1020" s="7">
        <v>0</v>
      </c>
      <c r="U1020" s="7">
        <v>5</v>
      </c>
      <c r="V1020" s="7" t="s">
        <v>685</v>
      </c>
      <c r="W1020" s="7">
        <v>0</v>
      </c>
      <c r="X1020" s="7">
        <v>5</v>
      </c>
      <c r="Y1020" s="7">
        <v>4</v>
      </c>
      <c r="Z1020" s="7">
        <v>1</v>
      </c>
      <c r="AA1020" s="7">
        <v>1</v>
      </c>
      <c r="AB1020" s="7">
        <v>1</v>
      </c>
      <c r="AC1020" s="7" t="s">
        <v>0</v>
      </c>
      <c r="AD1020" s="7">
        <v>1</v>
      </c>
      <c r="AE1020" s="7" t="s">
        <v>60</v>
      </c>
    </row>
    <row r="1021" spans="1:31" ht="38.25" x14ac:dyDescent="0.2">
      <c r="A1021" s="8" t="str">
        <f>HYPERLINK("http://www.patentics.cn/invokexml.do?sx=showpatent_cn&amp;sf=ShowPatent&amp;spn=CN105009172B&amp;sx=showpatent_cn&amp;sv=e3d1564222fe8999849546ec80544a06","CN105009172B")</f>
        <v>CN105009172B</v>
      </c>
      <c r="B1021" s="9" t="s">
        <v>5182</v>
      </c>
      <c r="C1021" s="9" t="s">
        <v>5183</v>
      </c>
      <c r="D1021" s="9" t="s">
        <v>301</v>
      </c>
      <c r="E1021" s="9" t="s">
        <v>301</v>
      </c>
      <c r="F1021" s="9" t="s">
        <v>5184</v>
      </c>
      <c r="G1021" s="9" t="s">
        <v>5185</v>
      </c>
      <c r="H1021" s="9" t="s">
        <v>734</v>
      </c>
      <c r="I1021" s="9" t="s">
        <v>5186</v>
      </c>
      <c r="J1021" s="9" t="s">
        <v>5187</v>
      </c>
      <c r="K1021" s="9" t="s">
        <v>2163</v>
      </c>
      <c r="L1021" s="9" t="s">
        <v>3162</v>
      </c>
      <c r="M1021" s="9">
        <v>12</v>
      </c>
      <c r="N1021" s="9">
        <v>19</v>
      </c>
      <c r="O1021" s="9" t="s">
        <v>57</v>
      </c>
      <c r="P1021" s="9" t="s">
        <v>58</v>
      </c>
      <c r="Q1021" s="9">
        <v>3</v>
      </c>
      <c r="R1021" s="9">
        <v>0</v>
      </c>
      <c r="S1021" s="9">
        <v>3</v>
      </c>
      <c r="T1021" s="9">
        <v>3</v>
      </c>
      <c r="U1021" s="9">
        <v>0</v>
      </c>
      <c r="V1021" s="9" t="s">
        <v>114</v>
      </c>
      <c r="W1021" s="9">
        <v>0</v>
      </c>
      <c r="X1021" s="9">
        <v>0</v>
      </c>
      <c r="Y1021" s="9">
        <v>0</v>
      </c>
      <c r="Z1021" s="9">
        <v>0</v>
      </c>
      <c r="AA1021" s="9">
        <v>9</v>
      </c>
      <c r="AB1021" s="9">
        <v>6</v>
      </c>
      <c r="AC1021" s="9">
        <v>14</v>
      </c>
      <c r="AD1021" s="9" t="s">
        <v>0</v>
      </c>
      <c r="AE1021" s="9" t="s">
        <v>60</v>
      </c>
    </row>
    <row r="1022" spans="1:31" ht="51" x14ac:dyDescent="0.2">
      <c r="A1022" s="6" t="str">
        <f>HYPERLINK("http://www.patentics.cn/invokexml.do?sx=showpatent_cn&amp;sf=ShowPatent&amp;spn=CN103415023&amp;sx=showpatent_cn&amp;sv=9fe02bf719ae67ee273da48436414f1b","CN103415023")</f>
        <v>CN103415023</v>
      </c>
      <c r="B1022" s="7" t="s">
        <v>5188</v>
      </c>
      <c r="C1022" s="7" t="s">
        <v>5189</v>
      </c>
      <c r="D1022" s="7" t="s">
        <v>5190</v>
      </c>
      <c r="E1022" s="7" t="s">
        <v>5190</v>
      </c>
      <c r="F1022" s="7" t="s">
        <v>5191</v>
      </c>
      <c r="G1022" s="7" t="s">
        <v>5192</v>
      </c>
      <c r="H1022" s="7" t="s">
        <v>5193</v>
      </c>
      <c r="I1022" s="7" t="s">
        <v>5193</v>
      </c>
      <c r="J1022" s="7" t="s">
        <v>1312</v>
      </c>
      <c r="K1022" s="7" t="s">
        <v>55</v>
      </c>
      <c r="L1022" s="7" t="s">
        <v>5194</v>
      </c>
      <c r="M1022" s="7">
        <v>9</v>
      </c>
      <c r="N1022" s="7">
        <v>18</v>
      </c>
      <c r="O1022" s="7" t="s">
        <v>42</v>
      </c>
      <c r="P1022" s="7" t="s">
        <v>43</v>
      </c>
      <c r="Q1022" s="7">
        <v>3</v>
      </c>
      <c r="R1022" s="7">
        <v>0</v>
      </c>
      <c r="S1022" s="7">
        <v>3</v>
      </c>
      <c r="T1022" s="7">
        <v>3</v>
      </c>
      <c r="U1022" s="7">
        <v>3</v>
      </c>
      <c r="V1022" s="7" t="s">
        <v>948</v>
      </c>
      <c r="W1022" s="7">
        <v>0</v>
      </c>
      <c r="X1022" s="7">
        <v>3</v>
      </c>
      <c r="Y1022" s="7">
        <v>2</v>
      </c>
      <c r="Z1022" s="7">
        <v>2</v>
      </c>
      <c r="AA1022" s="7">
        <v>1</v>
      </c>
      <c r="AB1022" s="7">
        <v>1</v>
      </c>
      <c r="AC1022" s="7" t="s">
        <v>0</v>
      </c>
      <c r="AD1022" s="7">
        <v>1</v>
      </c>
      <c r="AE1022" s="7" t="s">
        <v>60</v>
      </c>
    </row>
    <row r="1023" spans="1:31" ht="38.25" x14ac:dyDescent="0.2">
      <c r="A1023" s="8" t="str">
        <f>HYPERLINK("http://www.patentics.cn/invokexml.do?sx=showpatent_cn&amp;sf=ShowPatent&amp;spn=US9451563&amp;sx=showpatent_cn&amp;sv=1f98b5f1b7e8e2b9b63524956e9dfe3e","US9451563")</f>
        <v>US9451563</v>
      </c>
      <c r="B1023" s="9" t="s">
        <v>5195</v>
      </c>
      <c r="C1023" s="9" t="s">
        <v>5196</v>
      </c>
      <c r="D1023" s="9" t="s">
        <v>48</v>
      </c>
      <c r="E1023" s="9" t="s">
        <v>49</v>
      </c>
      <c r="F1023" s="9" t="s">
        <v>5197</v>
      </c>
      <c r="G1023" s="9" t="s">
        <v>1816</v>
      </c>
      <c r="H1023" s="9" t="s">
        <v>5198</v>
      </c>
      <c r="I1023" s="9" t="s">
        <v>5198</v>
      </c>
      <c r="J1023" s="9" t="s">
        <v>513</v>
      </c>
      <c r="K1023" s="9" t="s">
        <v>55</v>
      </c>
      <c r="L1023" s="9" t="s">
        <v>56</v>
      </c>
      <c r="M1023" s="9">
        <v>30</v>
      </c>
      <c r="N1023" s="9">
        <v>16</v>
      </c>
      <c r="O1023" s="9" t="s">
        <v>57</v>
      </c>
      <c r="P1023" s="9" t="s">
        <v>58</v>
      </c>
      <c r="Q1023" s="9">
        <v>14</v>
      </c>
      <c r="R1023" s="9">
        <v>1</v>
      </c>
      <c r="S1023" s="9">
        <v>13</v>
      </c>
      <c r="T1023" s="9">
        <v>8</v>
      </c>
      <c r="U1023" s="9">
        <v>0</v>
      </c>
      <c r="V1023" s="9" t="s">
        <v>114</v>
      </c>
      <c r="W1023" s="9">
        <v>0</v>
      </c>
      <c r="X1023" s="9">
        <v>0</v>
      </c>
      <c r="Y1023" s="9">
        <v>0</v>
      </c>
      <c r="Z1023" s="9">
        <v>0</v>
      </c>
      <c r="AA1023" s="9">
        <v>5</v>
      </c>
      <c r="AB1023" s="9">
        <v>5</v>
      </c>
      <c r="AC1023" s="9">
        <v>14</v>
      </c>
      <c r="AD1023" s="9" t="s">
        <v>0</v>
      </c>
      <c r="AE1023" s="9" t="s">
        <v>60</v>
      </c>
    </row>
    <row r="1024" spans="1:31" ht="25.5" x14ac:dyDescent="0.2">
      <c r="A1024" s="6" t="str">
        <f>HYPERLINK("http://www.patentics.cn/invokexml.do?sx=showpatent_cn&amp;sf=ShowPatent&amp;spn=CN103414540&amp;sx=showpatent_cn&amp;sv=11386ea192fc75976803e290b23c296c","CN103414540")</f>
        <v>CN103414540</v>
      </c>
      <c r="B1024" s="7" t="s">
        <v>5199</v>
      </c>
      <c r="C1024" s="7" t="s">
        <v>5200</v>
      </c>
      <c r="D1024" s="7" t="s">
        <v>3285</v>
      </c>
      <c r="E1024" s="7" t="s">
        <v>3285</v>
      </c>
      <c r="F1024" s="7" t="s">
        <v>5201</v>
      </c>
      <c r="G1024" s="7" t="s">
        <v>5202</v>
      </c>
      <c r="H1024" s="7" t="s">
        <v>0</v>
      </c>
      <c r="I1024" s="7" t="s">
        <v>2939</v>
      </c>
      <c r="J1024" s="7" t="s">
        <v>1312</v>
      </c>
      <c r="K1024" s="7" t="s">
        <v>68</v>
      </c>
      <c r="L1024" s="7" t="s">
        <v>1668</v>
      </c>
      <c r="M1024" s="7">
        <v>4</v>
      </c>
      <c r="N1024" s="7">
        <v>43</v>
      </c>
      <c r="O1024" s="7" t="s">
        <v>42</v>
      </c>
      <c r="P1024" s="7" t="s">
        <v>43</v>
      </c>
      <c r="Q1024" s="7">
        <v>0</v>
      </c>
      <c r="R1024" s="7">
        <v>0</v>
      </c>
      <c r="S1024" s="7">
        <v>0</v>
      </c>
      <c r="T1024" s="7">
        <v>0</v>
      </c>
      <c r="U1024" s="7">
        <v>3</v>
      </c>
      <c r="V1024" s="7" t="s">
        <v>5203</v>
      </c>
      <c r="W1024" s="7">
        <v>0</v>
      </c>
      <c r="X1024" s="7">
        <v>3</v>
      </c>
      <c r="Y1024" s="7">
        <v>3</v>
      </c>
      <c r="Z1024" s="7">
        <v>3</v>
      </c>
      <c r="AA1024" s="7">
        <v>0</v>
      </c>
      <c r="AB1024" s="7">
        <v>0</v>
      </c>
      <c r="AC1024" s="7" t="s">
        <v>0</v>
      </c>
      <c r="AD1024" s="7">
        <v>1</v>
      </c>
      <c r="AE1024" s="7" t="s">
        <v>3651</v>
      </c>
    </row>
    <row r="1025" spans="1:31" ht="63.75" x14ac:dyDescent="0.2">
      <c r="A1025" s="8" t="str">
        <f>HYPERLINK("http://www.patentics.cn/invokexml.do?sx=showpatent_cn&amp;sf=ShowPatent&amp;spn=WO2017127973&amp;sx=showpatent_cn&amp;sv=6b4eb4a1650467f2971adf85e1b7f133","WO2017127973")</f>
        <v>WO2017127973</v>
      </c>
      <c r="B1025" s="9" t="s">
        <v>5146</v>
      </c>
      <c r="C1025" s="9" t="s">
        <v>5108</v>
      </c>
      <c r="D1025" s="9" t="s">
        <v>117</v>
      </c>
      <c r="E1025" s="9" t="s">
        <v>49</v>
      </c>
      <c r="F1025" s="9" t="s">
        <v>5109</v>
      </c>
      <c r="G1025" s="9" t="s">
        <v>5110</v>
      </c>
      <c r="H1025" s="9" t="s">
        <v>5111</v>
      </c>
      <c r="I1025" s="9" t="s">
        <v>5111</v>
      </c>
      <c r="J1025" s="9" t="s">
        <v>3128</v>
      </c>
      <c r="K1025" s="9" t="s">
        <v>68</v>
      </c>
      <c r="L1025" s="9" t="s">
        <v>1668</v>
      </c>
      <c r="M1025" s="9">
        <v>16</v>
      </c>
      <c r="N1025" s="9">
        <v>0</v>
      </c>
      <c r="O1025" s="9" t="s">
        <v>850</v>
      </c>
      <c r="P1025" s="9" t="s">
        <v>43</v>
      </c>
      <c r="Q1025" s="9">
        <v>5</v>
      </c>
      <c r="R1025" s="9">
        <v>0</v>
      </c>
      <c r="S1025" s="9">
        <v>5</v>
      </c>
      <c r="T1025" s="9">
        <v>3</v>
      </c>
      <c r="U1025" s="9">
        <v>0</v>
      </c>
      <c r="V1025" s="9" t="s">
        <v>114</v>
      </c>
      <c r="W1025" s="9">
        <v>0</v>
      </c>
      <c r="X1025" s="9">
        <v>0</v>
      </c>
      <c r="Y1025" s="9">
        <v>0</v>
      </c>
      <c r="Z1025" s="9">
        <v>0</v>
      </c>
      <c r="AA1025" s="9">
        <v>1</v>
      </c>
      <c r="AB1025" s="9">
        <v>1</v>
      </c>
      <c r="AC1025" s="9">
        <v>14</v>
      </c>
      <c r="AD1025" s="9" t="s">
        <v>0</v>
      </c>
      <c r="AE1025" s="9" t="s">
        <v>0</v>
      </c>
    </row>
    <row r="1026" spans="1:31" ht="51" x14ac:dyDescent="0.2">
      <c r="A1026" s="6" t="str">
        <f>HYPERLINK("http://www.patentics.cn/invokexml.do?sx=showpatent_cn&amp;sf=ShowPatent&amp;spn=CN103346986&amp;sx=showpatent_cn&amp;sv=6ea21eafdde0a6fb292f2b2f0efa893e","CN103346986")</f>
        <v>CN103346986</v>
      </c>
      <c r="B1026" s="7" t="s">
        <v>5204</v>
      </c>
      <c r="C1026" s="7" t="s">
        <v>5205</v>
      </c>
      <c r="D1026" s="7" t="s">
        <v>1097</v>
      </c>
      <c r="E1026" s="7" t="s">
        <v>1097</v>
      </c>
      <c r="F1026" s="7" t="s">
        <v>5206</v>
      </c>
      <c r="G1026" s="7" t="s">
        <v>5207</v>
      </c>
      <c r="H1026" s="7" t="s">
        <v>0</v>
      </c>
      <c r="I1026" s="7" t="s">
        <v>5208</v>
      </c>
      <c r="J1026" s="7" t="s">
        <v>5209</v>
      </c>
      <c r="K1026" s="7" t="s">
        <v>68</v>
      </c>
      <c r="L1026" s="7" t="s">
        <v>428</v>
      </c>
      <c r="M1026" s="7">
        <v>5</v>
      </c>
      <c r="N1026" s="7">
        <v>40</v>
      </c>
      <c r="O1026" s="7" t="s">
        <v>42</v>
      </c>
      <c r="P1026" s="7" t="s">
        <v>43</v>
      </c>
      <c r="Q1026" s="7">
        <v>1</v>
      </c>
      <c r="R1026" s="7">
        <v>0</v>
      </c>
      <c r="S1026" s="7">
        <v>1</v>
      </c>
      <c r="T1026" s="7">
        <v>1</v>
      </c>
      <c r="U1026" s="7">
        <v>1</v>
      </c>
      <c r="V1026" s="7" t="s">
        <v>114</v>
      </c>
      <c r="W1026" s="7">
        <v>0</v>
      </c>
      <c r="X1026" s="7">
        <v>1</v>
      </c>
      <c r="Y1026" s="7">
        <v>1</v>
      </c>
      <c r="Z1026" s="7">
        <v>1</v>
      </c>
      <c r="AA1026" s="7">
        <v>0</v>
      </c>
      <c r="AB1026" s="7">
        <v>0</v>
      </c>
      <c r="AC1026" s="7" t="s">
        <v>0</v>
      </c>
      <c r="AD1026" s="7">
        <v>1</v>
      </c>
      <c r="AE1026" s="7" t="s">
        <v>60</v>
      </c>
    </row>
    <row r="1027" spans="1:31" ht="242.25" x14ac:dyDescent="0.2">
      <c r="A1027" s="8" t="str">
        <f>HYPERLINK("http://www.patentics.cn/invokexml.do?sx=showpatent_cn&amp;sf=ShowPatent&amp;spn=US9525610&amp;sx=showpatent_cn&amp;sv=6342f688183db88772f4b615d7f5f6da","US9525610")</f>
        <v>US9525610</v>
      </c>
      <c r="B1027" s="9" t="s">
        <v>5210</v>
      </c>
      <c r="C1027" s="9" t="s">
        <v>5211</v>
      </c>
      <c r="D1027" s="9" t="s">
        <v>48</v>
      </c>
      <c r="E1027" s="9" t="s">
        <v>49</v>
      </c>
      <c r="F1027" s="9" t="s">
        <v>5212</v>
      </c>
      <c r="G1027" s="9" t="s">
        <v>5213</v>
      </c>
      <c r="H1027" s="9" t="s">
        <v>1405</v>
      </c>
      <c r="I1027" s="9" t="s">
        <v>5214</v>
      </c>
      <c r="J1027" s="9" t="s">
        <v>5215</v>
      </c>
      <c r="K1027" s="9" t="s">
        <v>68</v>
      </c>
      <c r="L1027" s="9" t="s">
        <v>446</v>
      </c>
      <c r="M1027" s="9">
        <v>30</v>
      </c>
      <c r="N1027" s="9">
        <v>18</v>
      </c>
      <c r="O1027" s="9" t="s">
        <v>57</v>
      </c>
      <c r="P1027" s="9" t="s">
        <v>58</v>
      </c>
      <c r="Q1027" s="9">
        <v>75</v>
      </c>
      <c r="R1027" s="9">
        <v>19</v>
      </c>
      <c r="S1027" s="9">
        <v>56</v>
      </c>
      <c r="T1027" s="9">
        <v>38</v>
      </c>
      <c r="U1027" s="9">
        <v>0</v>
      </c>
      <c r="V1027" s="9" t="s">
        <v>114</v>
      </c>
      <c r="W1027" s="9">
        <v>0</v>
      </c>
      <c r="X1027" s="9">
        <v>0</v>
      </c>
      <c r="Y1027" s="9">
        <v>0</v>
      </c>
      <c r="Z1027" s="9">
        <v>0</v>
      </c>
      <c r="AA1027" s="9">
        <v>12</v>
      </c>
      <c r="AB1027" s="9">
        <v>2</v>
      </c>
      <c r="AC1027" s="9">
        <v>14</v>
      </c>
      <c r="AD1027" s="9" t="s">
        <v>0</v>
      </c>
      <c r="AE1027" s="9" t="s">
        <v>60</v>
      </c>
    </row>
    <row r="1028" spans="1:31" ht="25.5" x14ac:dyDescent="0.2">
      <c r="A1028" s="6" t="str">
        <f>HYPERLINK("http://www.patentics.cn/invokexml.do?sx=showpatent_cn&amp;sf=ShowPatent&amp;spn=CN103337519&amp;sx=showpatent_cn&amp;sv=5146f35bb3aeffd8b19553b2cdc64d65","CN103337519")</f>
        <v>CN103337519</v>
      </c>
      <c r="B1028" s="7" t="s">
        <v>5216</v>
      </c>
      <c r="C1028" s="7" t="s">
        <v>5217</v>
      </c>
      <c r="D1028" s="7" t="s">
        <v>1383</v>
      </c>
      <c r="E1028" s="7" t="s">
        <v>1383</v>
      </c>
      <c r="F1028" s="7" t="s">
        <v>5218</v>
      </c>
      <c r="G1028" s="7" t="s">
        <v>5078</v>
      </c>
      <c r="H1028" s="7" t="s">
        <v>3187</v>
      </c>
      <c r="I1028" s="7" t="s">
        <v>3187</v>
      </c>
      <c r="J1028" s="7" t="s">
        <v>5219</v>
      </c>
      <c r="K1028" s="7" t="s">
        <v>773</v>
      </c>
      <c r="L1028" s="7" t="s">
        <v>2802</v>
      </c>
      <c r="M1028" s="7">
        <v>20</v>
      </c>
      <c r="N1028" s="7">
        <v>11</v>
      </c>
      <c r="O1028" s="7" t="s">
        <v>42</v>
      </c>
      <c r="P1028" s="7" t="s">
        <v>43</v>
      </c>
      <c r="Q1028" s="7">
        <v>0</v>
      </c>
      <c r="R1028" s="7">
        <v>0</v>
      </c>
      <c r="S1028" s="7">
        <v>0</v>
      </c>
      <c r="T1028" s="7">
        <v>0</v>
      </c>
      <c r="U1028" s="7">
        <v>2</v>
      </c>
      <c r="V1028" s="7" t="s">
        <v>370</v>
      </c>
      <c r="W1028" s="7">
        <v>1</v>
      </c>
      <c r="X1028" s="7">
        <v>1</v>
      </c>
      <c r="Y1028" s="7">
        <v>2</v>
      </c>
      <c r="Z1028" s="7">
        <v>2</v>
      </c>
      <c r="AA1028" s="7">
        <v>2</v>
      </c>
      <c r="AB1028" s="7">
        <v>3</v>
      </c>
      <c r="AC1028" s="7" t="s">
        <v>0</v>
      </c>
      <c r="AD1028" s="7">
        <v>1</v>
      </c>
      <c r="AE1028" s="7" t="s">
        <v>1390</v>
      </c>
    </row>
    <row r="1029" spans="1:31" ht="38.25" x14ac:dyDescent="0.2">
      <c r="A1029" s="8" t="str">
        <f>HYPERLINK("http://www.patentics.cn/invokexml.do?sx=showpatent_cn&amp;sf=ShowPatent&amp;spn=WO2015167731&amp;sx=showpatent_cn&amp;sv=3e3ac5510dbbc9fc9d61cd6bc68663a1","WO2015167731")</f>
        <v>WO2015167731</v>
      </c>
      <c r="B1029" s="9" t="s">
        <v>5220</v>
      </c>
      <c r="C1029" s="9" t="s">
        <v>5221</v>
      </c>
      <c r="D1029" s="9" t="s">
        <v>117</v>
      </c>
      <c r="E1029" s="9" t="s">
        <v>49</v>
      </c>
      <c r="F1029" s="9" t="s">
        <v>5222</v>
      </c>
      <c r="G1029" s="9" t="s">
        <v>5223</v>
      </c>
      <c r="H1029" s="9" t="s">
        <v>1001</v>
      </c>
      <c r="I1029" s="9" t="s">
        <v>2561</v>
      </c>
      <c r="J1029" s="9" t="s">
        <v>5224</v>
      </c>
      <c r="K1029" s="9" t="s">
        <v>773</v>
      </c>
      <c r="L1029" s="9" t="s">
        <v>5225</v>
      </c>
      <c r="M1029" s="9">
        <v>22</v>
      </c>
      <c r="N1029" s="9">
        <v>10</v>
      </c>
      <c r="O1029" s="9" t="s">
        <v>850</v>
      </c>
      <c r="P1029" s="9" t="s">
        <v>58</v>
      </c>
      <c r="Q1029" s="9">
        <v>18</v>
      </c>
      <c r="R1029" s="9">
        <v>0</v>
      </c>
      <c r="S1029" s="9">
        <v>18</v>
      </c>
      <c r="T1029" s="9">
        <v>13</v>
      </c>
      <c r="U1029" s="9">
        <v>0</v>
      </c>
      <c r="V1029" s="9" t="s">
        <v>114</v>
      </c>
      <c r="W1029" s="9">
        <v>0</v>
      </c>
      <c r="X1029" s="9">
        <v>0</v>
      </c>
      <c r="Y1029" s="9">
        <v>0</v>
      </c>
      <c r="Z1029" s="9">
        <v>0</v>
      </c>
      <c r="AA1029" s="9">
        <v>1</v>
      </c>
      <c r="AB1029" s="9">
        <v>2</v>
      </c>
      <c r="AC1029" s="9">
        <v>14</v>
      </c>
      <c r="AD1029" s="9" t="s">
        <v>0</v>
      </c>
      <c r="AE1029" s="9" t="s">
        <v>0</v>
      </c>
    </row>
    <row r="1030" spans="1:31" ht="25.5" x14ac:dyDescent="0.2">
      <c r="A1030" s="6" t="str">
        <f>HYPERLINK("http://www.patentics.cn/invokexml.do?sx=showpatent_cn&amp;sf=ShowPatent&amp;spn=CN103326668&amp;sx=showpatent_cn&amp;sv=c60409eb7af983894878f7ebfa207deb","CN103326668")</f>
        <v>CN103326668</v>
      </c>
      <c r="B1030" s="7" t="s">
        <v>5226</v>
      </c>
      <c r="C1030" s="7" t="s">
        <v>5227</v>
      </c>
      <c r="D1030" s="7" t="s">
        <v>309</v>
      </c>
      <c r="E1030" s="7" t="s">
        <v>309</v>
      </c>
      <c r="F1030" s="7" t="s">
        <v>5228</v>
      </c>
      <c r="G1030" s="7" t="s">
        <v>5229</v>
      </c>
      <c r="H1030" s="7" t="s">
        <v>2719</v>
      </c>
      <c r="I1030" s="7" t="s">
        <v>2719</v>
      </c>
      <c r="J1030" s="7" t="s">
        <v>5230</v>
      </c>
      <c r="K1030" s="7" t="s">
        <v>2390</v>
      </c>
      <c r="L1030" s="7" t="s">
        <v>5231</v>
      </c>
      <c r="M1030" s="7">
        <v>6</v>
      </c>
      <c r="N1030" s="7">
        <v>45</v>
      </c>
      <c r="O1030" s="7" t="s">
        <v>42</v>
      </c>
      <c r="P1030" s="7" t="s">
        <v>43</v>
      </c>
      <c r="Q1030" s="7">
        <v>5</v>
      </c>
      <c r="R1030" s="7">
        <v>2</v>
      </c>
      <c r="S1030" s="7">
        <v>3</v>
      </c>
      <c r="T1030" s="7">
        <v>4</v>
      </c>
      <c r="U1030" s="7">
        <v>5</v>
      </c>
      <c r="V1030" s="7" t="s">
        <v>5232</v>
      </c>
      <c r="W1030" s="7">
        <v>2</v>
      </c>
      <c r="X1030" s="7">
        <v>3</v>
      </c>
      <c r="Y1030" s="7">
        <v>3</v>
      </c>
      <c r="Z1030" s="7">
        <v>3</v>
      </c>
      <c r="AA1030" s="7">
        <v>1</v>
      </c>
      <c r="AB1030" s="7">
        <v>1</v>
      </c>
      <c r="AC1030" s="7" t="s">
        <v>0</v>
      </c>
      <c r="AD1030" s="7">
        <v>1</v>
      </c>
      <c r="AE1030" s="7" t="s">
        <v>60</v>
      </c>
    </row>
    <row r="1031" spans="1:31" ht="38.25" x14ac:dyDescent="0.2">
      <c r="A1031" s="8" t="str">
        <f>HYPERLINK("http://www.patentics.cn/invokexml.do?sx=showpatent_cn&amp;sf=ShowPatent&amp;spn=US9438169&amp;sx=showpatent_cn&amp;sv=58b012c68143979e2814b34531c3660a","US9438169")</f>
        <v>US9438169</v>
      </c>
      <c r="B1031" s="9" t="s">
        <v>5233</v>
      </c>
      <c r="C1031" s="9" t="s">
        <v>5234</v>
      </c>
      <c r="D1031" s="9" t="s">
        <v>2211</v>
      </c>
      <c r="E1031" s="9" t="s">
        <v>49</v>
      </c>
      <c r="F1031" s="9" t="s">
        <v>5235</v>
      </c>
      <c r="G1031" s="9" t="s">
        <v>5236</v>
      </c>
      <c r="H1031" s="9" t="s">
        <v>0</v>
      </c>
      <c r="I1031" s="9" t="s">
        <v>5237</v>
      </c>
      <c r="J1031" s="9" t="s">
        <v>827</v>
      </c>
      <c r="K1031" s="9" t="s">
        <v>89</v>
      </c>
      <c r="L1031" s="9" t="s">
        <v>5238</v>
      </c>
      <c r="M1031" s="9">
        <v>17</v>
      </c>
      <c r="N1031" s="9">
        <v>13</v>
      </c>
      <c r="O1031" s="9" t="s">
        <v>57</v>
      </c>
      <c r="P1031" s="9" t="s">
        <v>58</v>
      </c>
      <c r="Q1031" s="9">
        <v>11</v>
      </c>
      <c r="R1031" s="9">
        <v>0</v>
      </c>
      <c r="S1031" s="9">
        <v>11</v>
      </c>
      <c r="T1031" s="9">
        <v>8</v>
      </c>
      <c r="U1031" s="9">
        <v>0</v>
      </c>
      <c r="V1031" s="9" t="s">
        <v>114</v>
      </c>
      <c r="W1031" s="9">
        <v>0</v>
      </c>
      <c r="X1031" s="9">
        <v>0</v>
      </c>
      <c r="Y1031" s="9">
        <v>0</v>
      </c>
      <c r="Z1031" s="9">
        <v>0</v>
      </c>
      <c r="AA1031" s="9">
        <v>0</v>
      </c>
      <c r="AB1031" s="9">
        <v>0</v>
      </c>
      <c r="AC1031" s="9">
        <v>14</v>
      </c>
      <c r="AD1031" s="9" t="s">
        <v>0</v>
      </c>
      <c r="AE1031" s="9" t="s">
        <v>60</v>
      </c>
    </row>
    <row r="1032" spans="1:31" ht="25.5" x14ac:dyDescent="0.2">
      <c r="A1032" s="6" t="str">
        <f>HYPERLINK("http://www.patentics.cn/invokexml.do?sx=showpatent_cn&amp;sf=ShowPatent&amp;spn=CN103324836&amp;sx=showpatent_cn&amp;sv=7540d4da843fe186b413700f4b5bc07b","CN103324836")</f>
        <v>CN103324836</v>
      </c>
      <c r="B1032" s="7" t="s">
        <v>5239</v>
      </c>
      <c r="C1032" s="7" t="s">
        <v>5240</v>
      </c>
      <c r="D1032" s="7" t="s">
        <v>1383</v>
      </c>
      <c r="E1032" s="7" t="s">
        <v>1383</v>
      </c>
      <c r="F1032" s="7" t="s">
        <v>5241</v>
      </c>
      <c r="G1032" s="7" t="s">
        <v>5242</v>
      </c>
      <c r="H1032" s="7" t="s">
        <v>0</v>
      </c>
      <c r="I1032" s="7" t="s">
        <v>3675</v>
      </c>
      <c r="J1032" s="7" t="s">
        <v>5230</v>
      </c>
      <c r="K1032" s="7" t="s">
        <v>885</v>
      </c>
      <c r="L1032" s="7" t="s">
        <v>5074</v>
      </c>
      <c r="M1032" s="7">
        <v>6</v>
      </c>
      <c r="N1032" s="7">
        <v>31</v>
      </c>
      <c r="O1032" s="7" t="s">
        <v>42</v>
      </c>
      <c r="P1032" s="7" t="s">
        <v>43</v>
      </c>
      <c r="Q1032" s="7">
        <v>1</v>
      </c>
      <c r="R1032" s="7">
        <v>0</v>
      </c>
      <c r="S1032" s="7">
        <v>1</v>
      </c>
      <c r="T1032" s="7">
        <v>1</v>
      </c>
      <c r="U1032" s="7">
        <v>2</v>
      </c>
      <c r="V1032" s="7" t="s">
        <v>5243</v>
      </c>
      <c r="W1032" s="7">
        <v>1</v>
      </c>
      <c r="X1032" s="7">
        <v>1</v>
      </c>
      <c r="Y1032" s="7">
        <v>2</v>
      </c>
      <c r="Z1032" s="7">
        <v>2</v>
      </c>
      <c r="AA1032" s="7">
        <v>0</v>
      </c>
      <c r="AB1032" s="7">
        <v>0</v>
      </c>
      <c r="AC1032" s="7" t="s">
        <v>0</v>
      </c>
      <c r="AD1032" s="7">
        <v>1</v>
      </c>
      <c r="AE1032" s="7" t="s">
        <v>60</v>
      </c>
    </row>
    <row r="1033" spans="1:31" ht="63.75" x14ac:dyDescent="0.2">
      <c r="A1033" s="8" t="str">
        <f>HYPERLINK("http://www.patentics.cn/invokexml.do?sx=showpatent_cn&amp;sf=ShowPatent&amp;spn=WO2017011119&amp;sx=showpatent_cn&amp;sv=b7309d8c3ea179ae4d9286d39297dfcb","WO2017011119")</f>
        <v>WO2017011119</v>
      </c>
      <c r="B1033" s="9" t="s">
        <v>5244</v>
      </c>
      <c r="C1033" s="9" t="s">
        <v>5245</v>
      </c>
      <c r="D1033" s="9" t="s">
        <v>117</v>
      </c>
      <c r="E1033" s="9" t="s">
        <v>49</v>
      </c>
      <c r="F1033" s="9" t="s">
        <v>5246</v>
      </c>
      <c r="G1033" s="9" t="s">
        <v>3214</v>
      </c>
      <c r="H1033" s="9" t="s">
        <v>5247</v>
      </c>
      <c r="I1033" s="9" t="s">
        <v>5248</v>
      </c>
      <c r="J1033" s="9" t="s">
        <v>3234</v>
      </c>
      <c r="K1033" s="9" t="s">
        <v>885</v>
      </c>
      <c r="L1033" s="9" t="s">
        <v>5249</v>
      </c>
      <c r="M1033" s="9">
        <v>18</v>
      </c>
      <c r="N1033" s="9">
        <v>9</v>
      </c>
      <c r="O1033" s="9" t="s">
        <v>850</v>
      </c>
      <c r="P1033" s="9" t="s">
        <v>58</v>
      </c>
      <c r="Q1033" s="9">
        <v>3</v>
      </c>
      <c r="R1033" s="9">
        <v>0</v>
      </c>
      <c r="S1033" s="9">
        <v>3</v>
      </c>
      <c r="T1033" s="9">
        <v>2</v>
      </c>
      <c r="U1033" s="9">
        <v>0</v>
      </c>
      <c r="V1033" s="9" t="s">
        <v>114</v>
      </c>
      <c r="W1033" s="9">
        <v>0</v>
      </c>
      <c r="X1033" s="9">
        <v>0</v>
      </c>
      <c r="Y1033" s="9">
        <v>0</v>
      </c>
      <c r="Z1033" s="9">
        <v>0</v>
      </c>
      <c r="AA1033" s="9">
        <v>1</v>
      </c>
      <c r="AB1033" s="9">
        <v>2</v>
      </c>
      <c r="AC1033" s="9">
        <v>14</v>
      </c>
      <c r="AD1033" s="9" t="s">
        <v>0</v>
      </c>
      <c r="AE1033" s="9" t="s">
        <v>0</v>
      </c>
    </row>
    <row r="1034" spans="1:31" ht="25.5" x14ac:dyDescent="0.2">
      <c r="A1034" s="6" t="str">
        <f>HYPERLINK("http://www.patentics.cn/invokexml.do?sx=showpatent_cn&amp;sf=ShowPatent&amp;spn=CN103281078&amp;sx=showpatent_cn&amp;sv=ce9eded9a5711a1e1a8ecbfaea59ed82","CN103281078")</f>
        <v>CN103281078</v>
      </c>
      <c r="B1034" s="7" t="s">
        <v>5250</v>
      </c>
      <c r="C1034" s="7" t="s">
        <v>5251</v>
      </c>
      <c r="D1034" s="7" t="s">
        <v>309</v>
      </c>
      <c r="E1034" s="7" t="s">
        <v>309</v>
      </c>
      <c r="F1034" s="7" t="s">
        <v>5228</v>
      </c>
      <c r="G1034" s="7" t="s">
        <v>5229</v>
      </c>
      <c r="H1034" s="7" t="s">
        <v>2719</v>
      </c>
      <c r="I1034" s="7" t="s">
        <v>2719</v>
      </c>
      <c r="J1034" s="7" t="s">
        <v>5252</v>
      </c>
      <c r="K1034" s="7" t="s">
        <v>2207</v>
      </c>
      <c r="L1034" s="7" t="s">
        <v>3521</v>
      </c>
      <c r="M1034" s="7">
        <v>6</v>
      </c>
      <c r="N1034" s="7">
        <v>43</v>
      </c>
      <c r="O1034" s="7" t="s">
        <v>42</v>
      </c>
      <c r="P1034" s="7" t="s">
        <v>43</v>
      </c>
      <c r="Q1034" s="7">
        <v>3</v>
      </c>
      <c r="R1034" s="7">
        <v>2</v>
      </c>
      <c r="S1034" s="7">
        <v>1</v>
      </c>
      <c r="T1034" s="7">
        <v>2</v>
      </c>
      <c r="U1034" s="7">
        <v>3</v>
      </c>
      <c r="V1034" s="7" t="s">
        <v>632</v>
      </c>
      <c r="W1034" s="7">
        <v>0</v>
      </c>
      <c r="X1034" s="7">
        <v>3</v>
      </c>
      <c r="Y1034" s="7">
        <v>2</v>
      </c>
      <c r="Z1034" s="7">
        <v>2</v>
      </c>
      <c r="AA1034" s="7">
        <v>1</v>
      </c>
      <c r="AB1034" s="7">
        <v>1</v>
      </c>
      <c r="AC1034" s="7" t="s">
        <v>0</v>
      </c>
      <c r="AD1034" s="7">
        <v>1</v>
      </c>
      <c r="AE1034" s="7" t="s">
        <v>60</v>
      </c>
    </row>
    <row r="1035" spans="1:31" ht="38.25" x14ac:dyDescent="0.2">
      <c r="A1035" s="8" t="str">
        <f>HYPERLINK("http://www.patentics.cn/invokexml.do?sx=showpatent_cn&amp;sf=ShowPatent&amp;spn=US9438169&amp;sx=showpatent_cn&amp;sv=58b012c68143979e2814b34531c3660a","US9438169")</f>
        <v>US9438169</v>
      </c>
      <c r="B1035" s="9" t="s">
        <v>5233</v>
      </c>
      <c r="C1035" s="9" t="s">
        <v>5234</v>
      </c>
      <c r="D1035" s="9" t="s">
        <v>2211</v>
      </c>
      <c r="E1035" s="9" t="s">
        <v>49</v>
      </c>
      <c r="F1035" s="9" t="s">
        <v>5235</v>
      </c>
      <c r="G1035" s="9" t="s">
        <v>5236</v>
      </c>
      <c r="H1035" s="9" t="s">
        <v>0</v>
      </c>
      <c r="I1035" s="9" t="s">
        <v>5237</v>
      </c>
      <c r="J1035" s="9" t="s">
        <v>827</v>
      </c>
      <c r="K1035" s="9" t="s">
        <v>89</v>
      </c>
      <c r="L1035" s="9" t="s">
        <v>5238</v>
      </c>
      <c r="M1035" s="9">
        <v>17</v>
      </c>
      <c r="N1035" s="9">
        <v>13</v>
      </c>
      <c r="O1035" s="9" t="s">
        <v>57</v>
      </c>
      <c r="P1035" s="9" t="s">
        <v>58</v>
      </c>
      <c r="Q1035" s="9">
        <v>11</v>
      </c>
      <c r="R1035" s="9">
        <v>0</v>
      </c>
      <c r="S1035" s="9">
        <v>11</v>
      </c>
      <c r="T1035" s="9">
        <v>8</v>
      </c>
      <c r="U1035" s="9">
        <v>0</v>
      </c>
      <c r="V1035" s="9" t="s">
        <v>114</v>
      </c>
      <c r="W1035" s="9">
        <v>0</v>
      </c>
      <c r="X1035" s="9">
        <v>0</v>
      </c>
      <c r="Y1035" s="9">
        <v>0</v>
      </c>
      <c r="Z1035" s="9">
        <v>0</v>
      </c>
      <c r="AA1035" s="9">
        <v>0</v>
      </c>
      <c r="AB1035" s="9">
        <v>0</v>
      </c>
      <c r="AC1035" s="9">
        <v>14</v>
      </c>
      <c r="AD1035" s="9" t="s">
        <v>0</v>
      </c>
      <c r="AE1035" s="9" t="s">
        <v>60</v>
      </c>
    </row>
    <row r="1036" spans="1:31" ht="25.5" x14ac:dyDescent="0.2">
      <c r="A1036" s="6" t="str">
        <f>HYPERLINK("http://www.patentics.cn/invokexml.do?sx=showpatent_cn&amp;sf=ShowPatent&amp;spn=CN103281166&amp;sx=showpatent_cn&amp;sv=9fa7aeb134c5313898f77d42a43ff8b9","CN103281166")</f>
        <v>CN103281166</v>
      </c>
      <c r="B1036" s="7" t="s">
        <v>5253</v>
      </c>
      <c r="C1036" s="7" t="s">
        <v>5254</v>
      </c>
      <c r="D1036" s="7" t="s">
        <v>1097</v>
      </c>
      <c r="E1036" s="7" t="s">
        <v>1097</v>
      </c>
      <c r="F1036" s="7" t="s">
        <v>5255</v>
      </c>
      <c r="G1036" s="7" t="s">
        <v>5256</v>
      </c>
      <c r="H1036" s="7" t="s">
        <v>2852</v>
      </c>
      <c r="I1036" s="7" t="s">
        <v>2852</v>
      </c>
      <c r="J1036" s="7" t="s">
        <v>5252</v>
      </c>
      <c r="K1036" s="7" t="s">
        <v>68</v>
      </c>
      <c r="L1036" s="7" t="s">
        <v>327</v>
      </c>
      <c r="M1036" s="7">
        <v>6</v>
      </c>
      <c r="N1036" s="7">
        <v>87</v>
      </c>
      <c r="O1036" s="7" t="s">
        <v>42</v>
      </c>
      <c r="P1036" s="7" t="s">
        <v>43</v>
      </c>
      <c r="Q1036" s="7">
        <v>1</v>
      </c>
      <c r="R1036" s="7">
        <v>0</v>
      </c>
      <c r="S1036" s="7">
        <v>1</v>
      </c>
      <c r="T1036" s="7">
        <v>1</v>
      </c>
      <c r="U1036" s="7">
        <v>6</v>
      </c>
      <c r="V1036" s="7" t="s">
        <v>5257</v>
      </c>
      <c r="W1036" s="7">
        <v>0</v>
      </c>
      <c r="X1036" s="7">
        <v>6</v>
      </c>
      <c r="Y1036" s="7">
        <v>3</v>
      </c>
      <c r="Z1036" s="7">
        <v>2</v>
      </c>
      <c r="AA1036" s="7">
        <v>1</v>
      </c>
      <c r="AB1036" s="7">
        <v>1</v>
      </c>
      <c r="AC1036" s="7" t="s">
        <v>0</v>
      </c>
      <c r="AD1036" s="7">
        <v>1</v>
      </c>
      <c r="AE1036" s="7" t="s">
        <v>60</v>
      </c>
    </row>
    <row r="1037" spans="1:31" ht="63.75" x14ac:dyDescent="0.2">
      <c r="A1037" s="8" t="str">
        <f>HYPERLINK("http://www.patentics.cn/invokexml.do?sx=showpatent_cn&amp;sf=ShowPatent&amp;spn=WO2017127973&amp;sx=showpatent_cn&amp;sv=6b4eb4a1650467f2971adf85e1b7f133","WO2017127973")</f>
        <v>WO2017127973</v>
      </c>
      <c r="B1037" s="9" t="s">
        <v>5146</v>
      </c>
      <c r="C1037" s="9" t="s">
        <v>5108</v>
      </c>
      <c r="D1037" s="9" t="s">
        <v>117</v>
      </c>
      <c r="E1037" s="9" t="s">
        <v>49</v>
      </c>
      <c r="F1037" s="9" t="s">
        <v>5109</v>
      </c>
      <c r="G1037" s="9" t="s">
        <v>5110</v>
      </c>
      <c r="H1037" s="9" t="s">
        <v>5111</v>
      </c>
      <c r="I1037" s="9" t="s">
        <v>5111</v>
      </c>
      <c r="J1037" s="9" t="s">
        <v>3128</v>
      </c>
      <c r="K1037" s="9" t="s">
        <v>68</v>
      </c>
      <c r="L1037" s="9" t="s">
        <v>1668</v>
      </c>
      <c r="M1037" s="9">
        <v>16</v>
      </c>
      <c r="N1037" s="9">
        <v>0</v>
      </c>
      <c r="O1037" s="9" t="s">
        <v>850</v>
      </c>
      <c r="P1037" s="9" t="s">
        <v>43</v>
      </c>
      <c r="Q1037" s="9">
        <v>5</v>
      </c>
      <c r="R1037" s="9">
        <v>0</v>
      </c>
      <c r="S1037" s="9">
        <v>5</v>
      </c>
      <c r="T1037" s="9">
        <v>3</v>
      </c>
      <c r="U1037" s="9">
        <v>0</v>
      </c>
      <c r="V1037" s="9" t="s">
        <v>114</v>
      </c>
      <c r="W1037" s="9">
        <v>0</v>
      </c>
      <c r="X1037" s="9">
        <v>0</v>
      </c>
      <c r="Y1037" s="9">
        <v>0</v>
      </c>
      <c r="Z1037" s="9">
        <v>0</v>
      </c>
      <c r="AA1037" s="9">
        <v>1</v>
      </c>
      <c r="AB1037" s="9">
        <v>1</v>
      </c>
      <c r="AC1037" s="9">
        <v>14</v>
      </c>
      <c r="AD1037" s="9" t="s">
        <v>0</v>
      </c>
      <c r="AE1037" s="9" t="s">
        <v>0</v>
      </c>
    </row>
    <row r="1038" spans="1:31" ht="63.75" x14ac:dyDescent="0.2">
      <c r="A1038" s="6" t="str">
        <f>HYPERLINK("http://www.patentics.cn/invokexml.do?sx=showpatent_cn&amp;sf=ShowPatent&amp;spn=CN103220337&amp;sx=showpatent_cn&amp;sv=1ed5df589a211131a3151d002cf971a9","CN103220337")</f>
        <v>CN103220337</v>
      </c>
      <c r="B1038" s="7" t="s">
        <v>5258</v>
      </c>
      <c r="C1038" s="7" t="s">
        <v>5259</v>
      </c>
      <c r="D1038" s="7" t="s">
        <v>5260</v>
      </c>
      <c r="E1038" s="7" t="s">
        <v>5260</v>
      </c>
      <c r="F1038" s="7" t="s">
        <v>5261</v>
      </c>
      <c r="G1038" s="7" t="s">
        <v>5262</v>
      </c>
      <c r="H1038" s="7" t="s">
        <v>0</v>
      </c>
      <c r="I1038" s="7" t="s">
        <v>5263</v>
      </c>
      <c r="J1038" s="7" t="s">
        <v>5264</v>
      </c>
      <c r="K1038" s="7" t="s">
        <v>68</v>
      </c>
      <c r="L1038" s="7" t="s">
        <v>2436</v>
      </c>
      <c r="M1038" s="7">
        <v>1</v>
      </c>
      <c r="N1038" s="7">
        <v>55</v>
      </c>
      <c r="O1038" s="7" t="s">
        <v>42</v>
      </c>
      <c r="P1038" s="7" t="s">
        <v>43</v>
      </c>
      <c r="Q1038" s="7">
        <v>7</v>
      </c>
      <c r="R1038" s="7">
        <v>0</v>
      </c>
      <c r="S1038" s="7">
        <v>7</v>
      </c>
      <c r="T1038" s="7">
        <v>7</v>
      </c>
      <c r="U1038" s="7">
        <v>10</v>
      </c>
      <c r="V1038" s="7" t="s">
        <v>5265</v>
      </c>
      <c r="W1038" s="7">
        <v>0</v>
      </c>
      <c r="X1038" s="7">
        <v>10</v>
      </c>
      <c r="Y1038" s="7">
        <v>9</v>
      </c>
      <c r="Z1038" s="7">
        <v>3</v>
      </c>
      <c r="AA1038" s="7">
        <v>0</v>
      </c>
      <c r="AB1038" s="7">
        <v>0</v>
      </c>
      <c r="AC1038" s="7" t="s">
        <v>0</v>
      </c>
      <c r="AD1038" s="7">
        <v>1</v>
      </c>
      <c r="AE1038" s="7" t="s">
        <v>60</v>
      </c>
    </row>
    <row r="1039" spans="1:31" ht="89.25" x14ac:dyDescent="0.2">
      <c r="A1039" s="8" t="str">
        <f>HYPERLINK("http://www.patentics.cn/invokexml.do?sx=showpatent_cn&amp;sf=ShowPatent&amp;spn=WO2015018003&amp;sx=showpatent_cn&amp;sv=3a84536ea7349acce22ca249b5f226d6","WO2015018003")</f>
        <v>WO2015018003</v>
      </c>
      <c r="B1039" s="9" t="s">
        <v>5266</v>
      </c>
      <c r="C1039" s="9" t="s">
        <v>5267</v>
      </c>
      <c r="D1039" s="9" t="s">
        <v>117</v>
      </c>
      <c r="E1039" s="9" t="s">
        <v>49</v>
      </c>
      <c r="F1039" s="9" t="s">
        <v>5268</v>
      </c>
      <c r="G1039" s="9" t="s">
        <v>5269</v>
      </c>
      <c r="H1039" s="9" t="s">
        <v>5181</v>
      </c>
      <c r="I1039" s="9" t="s">
        <v>5181</v>
      </c>
      <c r="J1039" s="9" t="s">
        <v>5270</v>
      </c>
      <c r="K1039" s="9" t="s">
        <v>885</v>
      </c>
      <c r="L1039" s="9" t="s">
        <v>1014</v>
      </c>
      <c r="M1039" s="9">
        <v>67</v>
      </c>
      <c r="N1039" s="9">
        <v>14</v>
      </c>
      <c r="O1039" s="9" t="s">
        <v>850</v>
      </c>
      <c r="P1039" s="9" t="s">
        <v>43</v>
      </c>
      <c r="Q1039" s="9">
        <v>3</v>
      </c>
      <c r="R1039" s="9">
        <v>0</v>
      </c>
      <c r="S1039" s="9">
        <v>3</v>
      </c>
      <c r="T1039" s="9">
        <v>3</v>
      </c>
      <c r="U1039" s="9">
        <v>0</v>
      </c>
      <c r="V1039" s="9" t="s">
        <v>114</v>
      </c>
      <c r="W1039" s="9">
        <v>0</v>
      </c>
      <c r="X1039" s="9">
        <v>0</v>
      </c>
      <c r="Y1039" s="9">
        <v>0</v>
      </c>
      <c r="Z1039" s="9">
        <v>0</v>
      </c>
      <c r="AA1039" s="9">
        <v>1</v>
      </c>
      <c r="AB1039" s="9">
        <v>2</v>
      </c>
      <c r="AC1039" s="9">
        <v>14</v>
      </c>
      <c r="AD1039" s="9" t="s">
        <v>0</v>
      </c>
      <c r="AE1039" s="9" t="s">
        <v>0</v>
      </c>
    </row>
    <row r="1040" spans="1:31" ht="38.25" x14ac:dyDescent="0.2">
      <c r="A1040" s="6" t="str">
        <f>HYPERLINK("http://www.patentics.cn/invokexml.do?sx=showpatent_cn&amp;sf=ShowPatent&amp;spn=CN103199923&amp;sx=showpatent_cn&amp;sv=a14928f8fa7491a396b459ac0b8f9286","CN103199923")</f>
        <v>CN103199923</v>
      </c>
      <c r="B1040" s="7" t="s">
        <v>5271</v>
      </c>
      <c r="C1040" s="7" t="s">
        <v>5272</v>
      </c>
      <c r="D1040" s="7" t="s">
        <v>5273</v>
      </c>
      <c r="E1040" s="7" t="s">
        <v>5273</v>
      </c>
      <c r="F1040" s="7" t="s">
        <v>5274</v>
      </c>
      <c r="G1040" s="7" t="s">
        <v>5275</v>
      </c>
      <c r="H1040" s="7" t="s">
        <v>5276</v>
      </c>
      <c r="I1040" s="7" t="s">
        <v>5276</v>
      </c>
      <c r="J1040" s="7" t="s">
        <v>5277</v>
      </c>
      <c r="K1040" s="7" t="s">
        <v>89</v>
      </c>
      <c r="L1040" s="7" t="s">
        <v>5278</v>
      </c>
      <c r="M1040" s="7">
        <v>4</v>
      </c>
      <c r="N1040" s="7">
        <v>45</v>
      </c>
      <c r="O1040" s="7" t="s">
        <v>42</v>
      </c>
      <c r="P1040" s="7" t="s">
        <v>43</v>
      </c>
      <c r="Q1040" s="7">
        <v>6</v>
      </c>
      <c r="R1040" s="7">
        <v>1</v>
      </c>
      <c r="S1040" s="7">
        <v>5</v>
      </c>
      <c r="T1040" s="7">
        <v>6</v>
      </c>
      <c r="U1040" s="7">
        <v>7</v>
      </c>
      <c r="V1040" s="7" t="s">
        <v>5279</v>
      </c>
      <c r="W1040" s="7">
        <v>3</v>
      </c>
      <c r="X1040" s="7">
        <v>4</v>
      </c>
      <c r="Y1040" s="7">
        <v>5</v>
      </c>
      <c r="Z1040" s="7">
        <v>2</v>
      </c>
      <c r="AA1040" s="7">
        <v>1</v>
      </c>
      <c r="AB1040" s="7">
        <v>1</v>
      </c>
      <c r="AC1040" s="7" t="s">
        <v>0</v>
      </c>
      <c r="AD1040" s="7">
        <v>1</v>
      </c>
      <c r="AE1040" s="7" t="s">
        <v>60</v>
      </c>
    </row>
    <row r="1041" spans="1:31" ht="38.25" x14ac:dyDescent="0.2">
      <c r="A1041" s="8" t="str">
        <f>HYPERLINK("http://www.patentics.cn/invokexml.do?sx=showpatent_cn&amp;sf=ShowPatent&amp;spn=WO2015195373&amp;sx=showpatent_cn&amp;sv=e4f005fc84c3469ce86e624a40540b82","WO2015195373")</f>
        <v>WO2015195373</v>
      </c>
      <c r="B1041" s="9" t="s">
        <v>5280</v>
      </c>
      <c r="C1041" s="9" t="s">
        <v>5281</v>
      </c>
      <c r="D1041" s="9" t="s">
        <v>117</v>
      </c>
      <c r="E1041" s="9" t="s">
        <v>49</v>
      </c>
      <c r="F1041" s="9" t="s">
        <v>5282</v>
      </c>
      <c r="G1041" s="9" t="s">
        <v>5282</v>
      </c>
      <c r="H1041" s="9" t="s">
        <v>796</v>
      </c>
      <c r="I1041" s="9" t="s">
        <v>5283</v>
      </c>
      <c r="J1041" s="9" t="s">
        <v>5284</v>
      </c>
      <c r="K1041" s="9" t="s">
        <v>1142</v>
      </c>
      <c r="L1041" s="9" t="s">
        <v>5285</v>
      </c>
      <c r="M1041" s="9">
        <v>20</v>
      </c>
      <c r="N1041" s="9">
        <v>13</v>
      </c>
      <c r="O1041" s="9" t="s">
        <v>850</v>
      </c>
      <c r="P1041" s="9" t="s">
        <v>58</v>
      </c>
      <c r="Q1041" s="9">
        <v>4</v>
      </c>
      <c r="R1041" s="9">
        <v>1</v>
      </c>
      <c r="S1041" s="9">
        <v>3</v>
      </c>
      <c r="T1041" s="9">
        <v>4</v>
      </c>
      <c r="U1041" s="9">
        <v>1</v>
      </c>
      <c r="V1041" s="9" t="s">
        <v>78</v>
      </c>
      <c r="W1041" s="9">
        <v>0</v>
      </c>
      <c r="X1041" s="9">
        <v>1</v>
      </c>
      <c r="Y1041" s="9">
        <v>1</v>
      </c>
      <c r="Z1041" s="9">
        <v>1</v>
      </c>
      <c r="AA1041" s="9">
        <v>1</v>
      </c>
      <c r="AB1041" s="9">
        <v>2</v>
      </c>
      <c r="AC1041" s="9">
        <v>14</v>
      </c>
      <c r="AD1041" s="9" t="s">
        <v>0</v>
      </c>
      <c r="AE1041" s="9" t="s">
        <v>0</v>
      </c>
    </row>
    <row r="1042" spans="1:31" ht="51" x14ac:dyDescent="0.2">
      <c r="A1042" s="6" t="str">
        <f>HYPERLINK("http://www.patentics.cn/invokexml.do?sx=showpatent_cn&amp;sf=ShowPatent&amp;spn=CN103200678&amp;sx=showpatent_cn&amp;sv=2e28ffd45421fccb543c7a2445e072f2","CN103200678")</f>
        <v>CN103200678</v>
      </c>
      <c r="B1042" s="7" t="s">
        <v>5286</v>
      </c>
      <c r="C1042" s="7" t="s">
        <v>5287</v>
      </c>
      <c r="D1042" s="7" t="s">
        <v>5288</v>
      </c>
      <c r="E1042" s="7" t="s">
        <v>5288</v>
      </c>
      <c r="F1042" s="7" t="s">
        <v>5289</v>
      </c>
      <c r="G1042" s="7" t="s">
        <v>5290</v>
      </c>
      <c r="H1042" s="7" t="s">
        <v>0</v>
      </c>
      <c r="I1042" s="7" t="s">
        <v>1126</v>
      </c>
      <c r="J1042" s="7" t="s">
        <v>5277</v>
      </c>
      <c r="K1042" s="7" t="s">
        <v>55</v>
      </c>
      <c r="L1042" s="7" t="s">
        <v>1175</v>
      </c>
      <c r="M1042" s="7">
        <v>7</v>
      </c>
      <c r="N1042" s="7">
        <v>47</v>
      </c>
      <c r="O1042" s="7" t="s">
        <v>42</v>
      </c>
      <c r="P1042" s="7" t="s">
        <v>43</v>
      </c>
      <c r="Q1042" s="7">
        <v>0</v>
      </c>
      <c r="R1042" s="7">
        <v>0</v>
      </c>
      <c r="S1042" s="7">
        <v>0</v>
      </c>
      <c r="T1042" s="7">
        <v>0</v>
      </c>
      <c r="U1042" s="7">
        <v>6</v>
      </c>
      <c r="V1042" s="7" t="s">
        <v>5291</v>
      </c>
      <c r="W1042" s="7">
        <v>1</v>
      </c>
      <c r="X1042" s="7">
        <v>5</v>
      </c>
      <c r="Y1042" s="7">
        <v>6</v>
      </c>
      <c r="Z1042" s="7">
        <v>2</v>
      </c>
      <c r="AA1042" s="7">
        <v>0</v>
      </c>
      <c r="AB1042" s="7">
        <v>0</v>
      </c>
      <c r="AC1042" s="7" t="s">
        <v>0</v>
      </c>
      <c r="AD1042" s="7">
        <v>1</v>
      </c>
      <c r="AE1042" s="7" t="s">
        <v>60</v>
      </c>
    </row>
    <row r="1043" spans="1:31" ht="38.25" x14ac:dyDescent="0.2">
      <c r="A1043" s="8" t="str">
        <f>HYPERLINK("http://www.patentics.cn/invokexml.do?sx=showpatent_cn&amp;sf=ShowPatent&amp;spn=US9794984&amp;sx=showpatent_cn&amp;sv=0e8434a9ed3fa38f6445570b1ad61af8","US9794984")</f>
        <v>US9794984</v>
      </c>
      <c r="B1043" s="9" t="s">
        <v>5292</v>
      </c>
      <c r="C1043" s="9" t="s">
        <v>5293</v>
      </c>
      <c r="D1043" s="9" t="s">
        <v>48</v>
      </c>
      <c r="E1043" s="9" t="s">
        <v>49</v>
      </c>
      <c r="F1043" s="9" t="s">
        <v>5294</v>
      </c>
      <c r="G1043" s="9" t="s">
        <v>5294</v>
      </c>
      <c r="H1043" s="9" t="s">
        <v>0</v>
      </c>
      <c r="I1043" s="9" t="s">
        <v>5295</v>
      </c>
      <c r="J1043" s="9" t="s">
        <v>3347</v>
      </c>
      <c r="K1043" s="9" t="s">
        <v>55</v>
      </c>
      <c r="L1043" s="9" t="s">
        <v>947</v>
      </c>
      <c r="M1043" s="9">
        <v>13</v>
      </c>
      <c r="N1043" s="9">
        <v>20</v>
      </c>
      <c r="O1043" s="9" t="s">
        <v>57</v>
      </c>
      <c r="P1043" s="9" t="s">
        <v>58</v>
      </c>
      <c r="Q1043" s="9">
        <v>42</v>
      </c>
      <c r="R1043" s="9">
        <v>14</v>
      </c>
      <c r="S1043" s="9">
        <v>28</v>
      </c>
      <c r="T1043" s="9">
        <v>21</v>
      </c>
      <c r="U1043" s="9">
        <v>0</v>
      </c>
      <c r="V1043" s="9" t="s">
        <v>114</v>
      </c>
      <c r="W1043" s="9">
        <v>0</v>
      </c>
      <c r="X1043" s="9">
        <v>0</v>
      </c>
      <c r="Y1043" s="9">
        <v>0</v>
      </c>
      <c r="Z1043" s="9">
        <v>0</v>
      </c>
      <c r="AA1043" s="9">
        <v>0</v>
      </c>
      <c r="AB1043" s="9">
        <v>0</v>
      </c>
      <c r="AC1043" s="9">
        <v>14</v>
      </c>
      <c r="AD1043" s="9" t="s">
        <v>0</v>
      </c>
      <c r="AE1043" s="9" t="s">
        <v>60</v>
      </c>
    </row>
    <row r="1044" spans="1:31" ht="38.25" x14ac:dyDescent="0.2">
      <c r="A1044" s="6" t="str">
        <f>HYPERLINK("http://www.patentics.cn/invokexml.do?sx=showpatent_cn&amp;sf=ShowPatent&amp;spn=CN103116895&amp;sx=showpatent_cn&amp;sv=6e15e721a4c570db307e9b3ebe112aba","CN103116895")</f>
        <v>CN103116895</v>
      </c>
      <c r="B1044" s="7" t="s">
        <v>5296</v>
      </c>
      <c r="C1044" s="7" t="s">
        <v>5297</v>
      </c>
      <c r="D1044" s="7" t="s">
        <v>1383</v>
      </c>
      <c r="E1044" s="7" t="s">
        <v>1383</v>
      </c>
      <c r="F1044" s="7" t="s">
        <v>5298</v>
      </c>
      <c r="G1044" s="7" t="s">
        <v>1730</v>
      </c>
      <c r="H1044" s="7" t="s">
        <v>0</v>
      </c>
      <c r="I1044" s="7" t="s">
        <v>1222</v>
      </c>
      <c r="J1044" s="7" t="s">
        <v>2868</v>
      </c>
      <c r="K1044" s="7" t="s">
        <v>2163</v>
      </c>
      <c r="L1044" s="7" t="s">
        <v>2164</v>
      </c>
      <c r="M1044" s="7">
        <v>14</v>
      </c>
      <c r="N1044" s="7">
        <v>28</v>
      </c>
      <c r="O1044" s="7" t="s">
        <v>42</v>
      </c>
      <c r="P1044" s="7" t="s">
        <v>43</v>
      </c>
      <c r="Q1044" s="7">
        <v>0</v>
      </c>
      <c r="R1044" s="7">
        <v>0</v>
      </c>
      <c r="S1044" s="7">
        <v>0</v>
      </c>
      <c r="T1044" s="7">
        <v>0</v>
      </c>
      <c r="U1044" s="7">
        <v>2</v>
      </c>
      <c r="V1044" s="7" t="s">
        <v>1779</v>
      </c>
      <c r="W1044" s="7">
        <v>0</v>
      </c>
      <c r="X1044" s="7">
        <v>2</v>
      </c>
      <c r="Y1044" s="7">
        <v>2</v>
      </c>
      <c r="Z1044" s="7">
        <v>2</v>
      </c>
      <c r="AA1044" s="7">
        <v>0</v>
      </c>
      <c r="AB1044" s="7">
        <v>0</v>
      </c>
      <c r="AC1044" s="7" t="s">
        <v>0</v>
      </c>
      <c r="AD1044" s="7">
        <v>1</v>
      </c>
      <c r="AE1044" s="7" t="s">
        <v>1390</v>
      </c>
    </row>
    <row r="1045" spans="1:31" ht="25.5" x14ac:dyDescent="0.2">
      <c r="A1045" s="8" t="str">
        <f>HYPERLINK("http://www.patentics.cn/invokexml.do?sx=showpatent_cn&amp;sf=ShowPatent&amp;spn=US9697418&amp;sx=showpatent_cn&amp;sv=4b2cd63c3231c989f0f84b2bc34074c3","US9697418")</f>
        <v>US9697418</v>
      </c>
      <c r="B1045" s="9" t="s">
        <v>3363</v>
      </c>
      <c r="C1045" s="9" t="s">
        <v>3364</v>
      </c>
      <c r="D1045" s="9" t="s">
        <v>48</v>
      </c>
      <c r="E1045" s="9" t="s">
        <v>49</v>
      </c>
      <c r="F1045" s="9" t="s">
        <v>3365</v>
      </c>
      <c r="G1045" s="9" t="s">
        <v>3365</v>
      </c>
      <c r="H1045" s="9" t="s">
        <v>3366</v>
      </c>
      <c r="I1045" s="9" t="s">
        <v>1318</v>
      </c>
      <c r="J1045" s="9" t="s">
        <v>3367</v>
      </c>
      <c r="K1045" s="9" t="s">
        <v>529</v>
      </c>
      <c r="L1045" s="9" t="s">
        <v>1432</v>
      </c>
      <c r="M1045" s="9">
        <v>36</v>
      </c>
      <c r="N1045" s="9">
        <v>16</v>
      </c>
      <c r="O1045" s="9" t="s">
        <v>57</v>
      </c>
      <c r="P1045" s="9" t="s">
        <v>58</v>
      </c>
      <c r="Q1045" s="9">
        <v>15</v>
      </c>
      <c r="R1045" s="9">
        <v>3</v>
      </c>
      <c r="S1045" s="9">
        <v>12</v>
      </c>
      <c r="T1045" s="9">
        <v>12</v>
      </c>
      <c r="U1045" s="9">
        <v>0</v>
      </c>
      <c r="V1045" s="9" t="s">
        <v>114</v>
      </c>
      <c r="W1045" s="9">
        <v>0</v>
      </c>
      <c r="X1045" s="9">
        <v>0</v>
      </c>
      <c r="Y1045" s="9">
        <v>0</v>
      </c>
      <c r="Z1045" s="9">
        <v>0</v>
      </c>
      <c r="AA1045" s="9">
        <v>5</v>
      </c>
      <c r="AB1045" s="9">
        <v>5</v>
      </c>
      <c r="AC1045" s="9">
        <v>14</v>
      </c>
      <c r="AD1045" s="9" t="s">
        <v>0</v>
      </c>
      <c r="AE1045" s="9" t="s">
        <v>60</v>
      </c>
    </row>
    <row r="1046" spans="1:31" x14ac:dyDescent="0.2">
      <c r="A1046" s="6" t="str">
        <f>HYPERLINK("http://www.patentics.cn/invokexml.do?sx=showpatent_cn&amp;sf=ShowPatent&amp;spn=CN103023618&amp;sx=showpatent_cn&amp;sv=05165345a66fd02551037efb7e8e0d77","CN103023618")</f>
        <v>CN103023618</v>
      </c>
      <c r="B1046" s="7" t="s">
        <v>5299</v>
      </c>
      <c r="C1046" s="7" t="s">
        <v>5300</v>
      </c>
      <c r="D1046" s="7" t="s">
        <v>1097</v>
      </c>
      <c r="E1046" s="7" t="s">
        <v>1097</v>
      </c>
      <c r="F1046" s="7" t="s">
        <v>5255</v>
      </c>
      <c r="G1046" s="7" t="s">
        <v>5256</v>
      </c>
      <c r="H1046" s="7" t="s">
        <v>0</v>
      </c>
      <c r="I1046" s="7" t="s">
        <v>5301</v>
      </c>
      <c r="J1046" s="7" t="s">
        <v>3203</v>
      </c>
      <c r="K1046" s="7" t="s">
        <v>68</v>
      </c>
      <c r="L1046" s="7" t="s">
        <v>1668</v>
      </c>
      <c r="M1046" s="7">
        <v>5</v>
      </c>
      <c r="N1046" s="7">
        <v>54</v>
      </c>
      <c r="O1046" s="7" t="s">
        <v>42</v>
      </c>
      <c r="P1046" s="7" t="s">
        <v>43</v>
      </c>
      <c r="Q1046" s="7">
        <v>3</v>
      </c>
      <c r="R1046" s="7">
        <v>2</v>
      </c>
      <c r="S1046" s="7">
        <v>1</v>
      </c>
      <c r="T1046" s="7">
        <v>2</v>
      </c>
      <c r="U1046" s="7">
        <v>8</v>
      </c>
      <c r="V1046" s="7" t="s">
        <v>5302</v>
      </c>
      <c r="W1046" s="7">
        <v>0</v>
      </c>
      <c r="X1046" s="7">
        <v>8</v>
      </c>
      <c r="Y1046" s="7">
        <v>2</v>
      </c>
      <c r="Z1046" s="7">
        <v>1</v>
      </c>
      <c r="AA1046" s="7">
        <v>0</v>
      </c>
      <c r="AB1046" s="7">
        <v>0</v>
      </c>
      <c r="AC1046" s="7" t="s">
        <v>0</v>
      </c>
      <c r="AD1046" s="7">
        <v>1</v>
      </c>
      <c r="AE1046" s="7" t="s">
        <v>532</v>
      </c>
    </row>
    <row r="1047" spans="1:31" ht="63.75" x14ac:dyDescent="0.2">
      <c r="A1047" s="8" t="str">
        <f>HYPERLINK("http://www.patentics.cn/invokexml.do?sx=showpatent_cn&amp;sf=ShowPatent&amp;spn=WO2017127973&amp;sx=showpatent_cn&amp;sv=6b4eb4a1650467f2971adf85e1b7f133","WO2017127973")</f>
        <v>WO2017127973</v>
      </c>
      <c r="B1047" s="9" t="s">
        <v>5146</v>
      </c>
      <c r="C1047" s="9" t="s">
        <v>5108</v>
      </c>
      <c r="D1047" s="9" t="s">
        <v>117</v>
      </c>
      <c r="E1047" s="9" t="s">
        <v>49</v>
      </c>
      <c r="F1047" s="9" t="s">
        <v>5109</v>
      </c>
      <c r="G1047" s="9" t="s">
        <v>5110</v>
      </c>
      <c r="H1047" s="9" t="s">
        <v>5111</v>
      </c>
      <c r="I1047" s="9" t="s">
        <v>5111</v>
      </c>
      <c r="J1047" s="9" t="s">
        <v>3128</v>
      </c>
      <c r="K1047" s="9" t="s">
        <v>68</v>
      </c>
      <c r="L1047" s="9" t="s">
        <v>1668</v>
      </c>
      <c r="M1047" s="9">
        <v>16</v>
      </c>
      <c r="N1047" s="9">
        <v>0</v>
      </c>
      <c r="O1047" s="9" t="s">
        <v>850</v>
      </c>
      <c r="P1047" s="9" t="s">
        <v>43</v>
      </c>
      <c r="Q1047" s="9">
        <v>5</v>
      </c>
      <c r="R1047" s="9">
        <v>0</v>
      </c>
      <c r="S1047" s="9">
        <v>5</v>
      </c>
      <c r="T1047" s="9">
        <v>3</v>
      </c>
      <c r="U1047" s="9">
        <v>0</v>
      </c>
      <c r="V1047" s="9" t="s">
        <v>114</v>
      </c>
      <c r="W1047" s="9">
        <v>0</v>
      </c>
      <c r="X1047" s="9">
        <v>0</v>
      </c>
      <c r="Y1047" s="9">
        <v>0</v>
      </c>
      <c r="Z1047" s="9">
        <v>0</v>
      </c>
      <c r="AA1047" s="9">
        <v>1</v>
      </c>
      <c r="AB1047" s="9">
        <v>1</v>
      </c>
      <c r="AC1047" s="9">
        <v>14</v>
      </c>
      <c r="AD1047" s="9" t="s">
        <v>0</v>
      </c>
      <c r="AE1047" s="9" t="s">
        <v>0</v>
      </c>
    </row>
    <row r="1048" spans="1:31" ht="38.25" x14ac:dyDescent="0.2">
      <c r="A1048" s="6" t="str">
        <f>HYPERLINK("http://www.patentics.cn/invokexml.do?sx=showpatent_cn&amp;sf=ShowPatent&amp;spn=CN102970757&amp;sx=showpatent_cn&amp;sv=1e74891989fdc86cade5de26be2e6683","CN102970757")</f>
        <v>CN102970757</v>
      </c>
      <c r="B1048" s="7" t="s">
        <v>5303</v>
      </c>
      <c r="C1048" s="7" t="s">
        <v>5304</v>
      </c>
      <c r="D1048" s="7" t="s">
        <v>3285</v>
      </c>
      <c r="E1048" s="7" t="s">
        <v>3285</v>
      </c>
      <c r="F1048" s="7" t="s">
        <v>5305</v>
      </c>
      <c r="G1048" s="7" t="s">
        <v>5306</v>
      </c>
      <c r="H1048" s="7" t="s">
        <v>5307</v>
      </c>
      <c r="I1048" s="7" t="s">
        <v>5307</v>
      </c>
      <c r="J1048" s="7" t="s">
        <v>734</v>
      </c>
      <c r="K1048" s="7" t="s">
        <v>55</v>
      </c>
      <c r="L1048" s="7" t="s">
        <v>206</v>
      </c>
      <c r="M1048" s="7">
        <v>2</v>
      </c>
      <c r="N1048" s="7">
        <v>40</v>
      </c>
      <c r="O1048" s="7" t="s">
        <v>42</v>
      </c>
      <c r="P1048" s="7" t="s">
        <v>43</v>
      </c>
      <c r="Q1048" s="7">
        <v>3</v>
      </c>
      <c r="R1048" s="7">
        <v>0</v>
      </c>
      <c r="S1048" s="7">
        <v>3</v>
      </c>
      <c r="T1048" s="7">
        <v>3</v>
      </c>
      <c r="U1048" s="7">
        <v>1</v>
      </c>
      <c r="V1048" s="7" t="s">
        <v>466</v>
      </c>
      <c r="W1048" s="7">
        <v>0</v>
      </c>
      <c r="X1048" s="7">
        <v>1</v>
      </c>
      <c r="Y1048" s="7">
        <v>1</v>
      </c>
      <c r="Z1048" s="7">
        <v>1</v>
      </c>
      <c r="AA1048" s="7">
        <v>1</v>
      </c>
      <c r="AB1048" s="7">
        <v>1</v>
      </c>
      <c r="AC1048" s="7" t="s">
        <v>0</v>
      </c>
      <c r="AD1048" s="7">
        <v>1</v>
      </c>
      <c r="AE1048" s="7" t="s">
        <v>60</v>
      </c>
    </row>
    <row r="1049" spans="1:31" ht="38.25" x14ac:dyDescent="0.2">
      <c r="A1049" s="8" t="str">
        <f>HYPERLINK("http://www.patentics.cn/invokexml.do?sx=showpatent_cn&amp;sf=ShowPatent&amp;spn=WO2015000169&amp;sx=showpatent_cn&amp;sv=a45a5787d922dc3984ee6e5260b4d6fc","WO2015000169")</f>
        <v>WO2015000169</v>
      </c>
      <c r="B1049" s="9" t="s">
        <v>5308</v>
      </c>
      <c r="C1049" s="9" t="s">
        <v>5309</v>
      </c>
      <c r="D1049" s="9" t="s">
        <v>117</v>
      </c>
      <c r="E1049" s="9" t="s">
        <v>49</v>
      </c>
      <c r="F1049" s="9" t="s">
        <v>5310</v>
      </c>
      <c r="G1049" s="9" t="s">
        <v>5311</v>
      </c>
      <c r="H1049" s="9" t="s">
        <v>0</v>
      </c>
      <c r="I1049" s="9" t="s">
        <v>5312</v>
      </c>
      <c r="J1049" s="9" t="s">
        <v>5313</v>
      </c>
      <c r="K1049" s="9" t="s">
        <v>55</v>
      </c>
      <c r="L1049" s="9" t="s">
        <v>2501</v>
      </c>
      <c r="M1049" s="9">
        <v>22</v>
      </c>
      <c r="N1049" s="9">
        <v>4</v>
      </c>
      <c r="O1049" s="9" t="s">
        <v>850</v>
      </c>
      <c r="P1049" s="9" t="s">
        <v>1932</v>
      </c>
      <c r="Q1049" s="9">
        <v>3</v>
      </c>
      <c r="R1049" s="9">
        <v>0</v>
      </c>
      <c r="S1049" s="9">
        <v>3</v>
      </c>
      <c r="T1049" s="9">
        <v>3</v>
      </c>
      <c r="U1049" s="9">
        <v>0</v>
      </c>
      <c r="V1049" s="9" t="s">
        <v>114</v>
      </c>
      <c r="W1049" s="9">
        <v>0</v>
      </c>
      <c r="X1049" s="9">
        <v>0</v>
      </c>
      <c r="Y1049" s="9">
        <v>0</v>
      </c>
      <c r="Z1049" s="9">
        <v>0</v>
      </c>
      <c r="AA1049" s="9">
        <v>0</v>
      </c>
      <c r="AB1049" s="9">
        <v>0</v>
      </c>
      <c r="AC1049" s="9">
        <v>14</v>
      </c>
      <c r="AD1049" s="9" t="s">
        <v>0</v>
      </c>
      <c r="AE1049" s="9" t="s">
        <v>0</v>
      </c>
    </row>
    <row r="1050" spans="1:31" ht="38.25" x14ac:dyDescent="0.2">
      <c r="A1050" s="6" t="str">
        <f>HYPERLINK("http://www.patentics.cn/invokexml.do?sx=showpatent_cn&amp;sf=ShowPatent&amp;spn=CN102868979&amp;sx=showpatent_cn&amp;sv=ac7b7d1c72562b32fed624111233aa12","CN102868979")</f>
        <v>CN102868979</v>
      </c>
      <c r="B1050" s="7" t="s">
        <v>5314</v>
      </c>
      <c r="C1050" s="7" t="s">
        <v>5315</v>
      </c>
      <c r="D1050" s="7" t="s">
        <v>5316</v>
      </c>
      <c r="E1050" s="7" t="s">
        <v>5317</v>
      </c>
      <c r="F1050" s="7" t="s">
        <v>5318</v>
      </c>
      <c r="G1050" s="7" t="s">
        <v>5319</v>
      </c>
      <c r="H1050" s="7" t="s">
        <v>0</v>
      </c>
      <c r="I1050" s="7" t="s">
        <v>3461</v>
      </c>
      <c r="J1050" s="7" t="s">
        <v>5320</v>
      </c>
      <c r="K1050" s="7" t="s">
        <v>55</v>
      </c>
      <c r="L1050" s="7" t="s">
        <v>5321</v>
      </c>
      <c r="M1050" s="7">
        <v>8</v>
      </c>
      <c r="N1050" s="7">
        <v>11</v>
      </c>
      <c r="O1050" s="7" t="s">
        <v>42</v>
      </c>
      <c r="P1050" s="7" t="s">
        <v>43</v>
      </c>
      <c r="Q1050" s="7">
        <v>0</v>
      </c>
      <c r="R1050" s="7">
        <v>0</v>
      </c>
      <c r="S1050" s="7">
        <v>0</v>
      </c>
      <c r="T1050" s="7">
        <v>0</v>
      </c>
      <c r="U1050" s="7">
        <v>1</v>
      </c>
      <c r="V1050" s="7" t="s">
        <v>484</v>
      </c>
      <c r="W1050" s="7">
        <v>0</v>
      </c>
      <c r="X1050" s="7">
        <v>1</v>
      </c>
      <c r="Y1050" s="7">
        <v>1</v>
      </c>
      <c r="Z1050" s="7">
        <v>1</v>
      </c>
      <c r="AA1050" s="7">
        <v>0</v>
      </c>
      <c r="AB1050" s="7">
        <v>0</v>
      </c>
      <c r="AC1050" s="7" t="s">
        <v>0</v>
      </c>
      <c r="AD1050" s="7">
        <v>1</v>
      </c>
      <c r="AE1050" s="7" t="s">
        <v>1390</v>
      </c>
    </row>
    <row r="1051" spans="1:31" ht="127.5" x14ac:dyDescent="0.2">
      <c r="A1051" s="8" t="str">
        <f>HYPERLINK("http://www.patentics.cn/invokexml.do?sx=showpatent_cn&amp;sf=ShowPatent&amp;spn=WO2016169006&amp;sx=showpatent_cn&amp;sv=c79fcc205021b179863ce8d011d8701b","WO2016169006")</f>
        <v>WO2016169006</v>
      </c>
      <c r="B1051" s="9" t="s">
        <v>5322</v>
      </c>
      <c r="C1051" s="9" t="s">
        <v>5323</v>
      </c>
      <c r="D1051" s="9" t="s">
        <v>117</v>
      </c>
      <c r="E1051" s="9" t="s">
        <v>49</v>
      </c>
      <c r="F1051" s="9" t="s">
        <v>5324</v>
      </c>
      <c r="G1051" s="9" t="s">
        <v>5325</v>
      </c>
      <c r="H1051" s="9" t="s">
        <v>0</v>
      </c>
      <c r="I1051" s="9" t="s">
        <v>5326</v>
      </c>
      <c r="J1051" s="9" t="s">
        <v>5327</v>
      </c>
      <c r="K1051" s="9" t="s">
        <v>55</v>
      </c>
      <c r="L1051" s="9" t="s">
        <v>5328</v>
      </c>
      <c r="M1051" s="9">
        <v>19</v>
      </c>
      <c r="N1051" s="9">
        <v>0</v>
      </c>
      <c r="O1051" s="9" t="s">
        <v>850</v>
      </c>
      <c r="P1051" s="9" t="s">
        <v>1932</v>
      </c>
      <c r="Q1051" s="9">
        <v>6</v>
      </c>
      <c r="R1051" s="9">
        <v>0</v>
      </c>
      <c r="S1051" s="9">
        <v>6</v>
      </c>
      <c r="T1051" s="9">
        <v>4</v>
      </c>
      <c r="U1051" s="9">
        <v>0</v>
      </c>
      <c r="V1051" s="9" t="s">
        <v>114</v>
      </c>
      <c r="W1051" s="9">
        <v>0</v>
      </c>
      <c r="X1051" s="9">
        <v>0</v>
      </c>
      <c r="Y1051" s="9">
        <v>0</v>
      </c>
      <c r="Z1051" s="9">
        <v>0</v>
      </c>
      <c r="AA1051" s="9">
        <v>0</v>
      </c>
      <c r="AB1051" s="9">
        <v>0</v>
      </c>
      <c r="AC1051" s="9">
        <v>14</v>
      </c>
      <c r="AD1051" s="9" t="s">
        <v>0</v>
      </c>
      <c r="AE1051" s="9" t="s">
        <v>0</v>
      </c>
    </row>
    <row r="1052" spans="1:31" ht="38.25" x14ac:dyDescent="0.2">
      <c r="A1052" s="6" t="str">
        <f>HYPERLINK("http://www.patentics.cn/invokexml.do?sx=showpatent_cn&amp;sf=ShowPatent&amp;spn=CN102857998&amp;sx=showpatent_cn&amp;sv=31d53a1eec5ea5cfc8eee6d74f0452db","CN102857998")</f>
        <v>CN102857998</v>
      </c>
      <c r="B1052" s="7" t="s">
        <v>5329</v>
      </c>
      <c r="C1052" s="7" t="s">
        <v>5330</v>
      </c>
      <c r="D1052" s="7" t="s">
        <v>35</v>
      </c>
      <c r="E1052" s="7" t="s">
        <v>35</v>
      </c>
      <c r="F1052" s="7" t="s">
        <v>5331</v>
      </c>
      <c r="G1052" s="7" t="s">
        <v>5332</v>
      </c>
      <c r="H1052" s="7" t="s">
        <v>0</v>
      </c>
      <c r="I1052" s="7" t="s">
        <v>464</v>
      </c>
      <c r="J1052" s="7" t="s">
        <v>1306</v>
      </c>
      <c r="K1052" s="7" t="s">
        <v>55</v>
      </c>
      <c r="L1052" s="7" t="s">
        <v>2875</v>
      </c>
      <c r="M1052" s="7">
        <v>8</v>
      </c>
      <c r="N1052" s="7">
        <v>28</v>
      </c>
      <c r="O1052" s="7" t="s">
        <v>42</v>
      </c>
      <c r="P1052" s="7" t="s">
        <v>43</v>
      </c>
      <c r="Q1052" s="7">
        <v>4</v>
      </c>
      <c r="R1052" s="7">
        <v>0</v>
      </c>
      <c r="S1052" s="7">
        <v>4</v>
      </c>
      <c r="T1052" s="7">
        <v>3</v>
      </c>
      <c r="U1052" s="7">
        <v>4</v>
      </c>
      <c r="V1052" s="7" t="s">
        <v>5333</v>
      </c>
      <c r="W1052" s="7">
        <v>0</v>
      </c>
      <c r="X1052" s="7">
        <v>4</v>
      </c>
      <c r="Y1052" s="7">
        <v>3</v>
      </c>
      <c r="Z1052" s="7">
        <v>1</v>
      </c>
      <c r="AA1052" s="7">
        <v>0</v>
      </c>
      <c r="AB1052" s="7">
        <v>0</v>
      </c>
      <c r="AC1052" s="7" t="s">
        <v>0</v>
      </c>
      <c r="AD1052" s="7">
        <v>1</v>
      </c>
      <c r="AE1052" s="7" t="s">
        <v>532</v>
      </c>
    </row>
    <row r="1053" spans="1:31" ht="51" x14ac:dyDescent="0.2">
      <c r="A1053" s="8" t="str">
        <f>HYPERLINK("http://www.patentics.cn/invokexml.do?sx=showpatent_cn&amp;sf=ShowPatent&amp;spn=WO2015074245&amp;sx=showpatent_cn&amp;sv=467e16521c59b96e45ec45c4a25730b9","WO2015074245")</f>
        <v>WO2015074245</v>
      </c>
      <c r="B1053" s="9" t="s">
        <v>5334</v>
      </c>
      <c r="C1053" s="9" t="s">
        <v>5335</v>
      </c>
      <c r="D1053" s="9" t="s">
        <v>117</v>
      </c>
      <c r="E1053" s="9" t="s">
        <v>49</v>
      </c>
      <c r="F1053" s="9" t="s">
        <v>5336</v>
      </c>
      <c r="G1053" s="9" t="s">
        <v>5337</v>
      </c>
      <c r="H1053" s="9" t="s">
        <v>0</v>
      </c>
      <c r="I1053" s="9" t="s">
        <v>5085</v>
      </c>
      <c r="J1053" s="9" t="s">
        <v>5087</v>
      </c>
      <c r="K1053" s="9" t="s">
        <v>55</v>
      </c>
      <c r="L1053" s="9" t="s">
        <v>2875</v>
      </c>
      <c r="M1053" s="9">
        <v>40</v>
      </c>
      <c r="N1053" s="9">
        <v>11</v>
      </c>
      <c r="O1053" s="9" t="s">
        <v>850</v>
      </c>
      <c r="P1053" s="9" t="s">
        <v>1932</v>
      </c>
      <c r="Q1053" s="9">
        <v>3</v>
      </c>
      <c r="R1053" s="9">
        <v>0</v>
      </c>
      <c r="S1053" s="9">
        <v>3</v>
      </c>
      <c r="T1053" s="9">
        <v>3</v>
      </c>
      <c r="U1053" s="9">
        <v>0</v>
      </c>
      <c r="V1053" s="9" t="s">
        <v>114</v>
      </c>
      <c r="W1053" s="9">
        <v>0</v>
      </c>
      <c r="X1053" s="9">
        <v>0</v>
      </c>
      <c r="Y1053" s="9">
        <v>0</v>
      </c>
      <c r="Z1053" s="9">
        <v>0</v>
      </c>
      <c r="AA1053" s="9">
        <v>0</v>
      </c>
      <c r="AB1053" s="9">
        <v>0</v>
      </c>
      <c r="AC1053" s="9">
        <v>14</v>
      </c>
      <c r="AD1053" s="9" t="s">
        <v>0</v>
      </c>
      <c r="AE1053" s="9" t="s">
        <v>0</v>
      </c>
    </row>
    <row r="1054" spans="1:31" ht="25.5" x14ac:dyDescent="0.2">
      <c r="A1054" s="6" t="str">
        <f>HYPERLINK("http://www.patentics.cn/invokexml.do?sx=showpatent_cn&amp;sf=ShowPatent&amp;spn=CN102859827&amp;sx=showpatent_cn&amp;sv=4d4397b431efc8825369cbf7230e3280","CN102859827")</f>
        <v>CN102859827</v>
      </c>
      <c r="B1054" s="7" t="s">
        <v>5338</v>
      </c>
      <c r="C1054" s="7" t="s">
        <v>5339</v>
      </c>
      <c r="D1054" s="7" t="s">
        <v>5340</v>
      </c>
      <c r="E1054" s="7" t="s">
        <v>5340</v>
      </c>
      <c r="F1054" s="7" t="s">
        <v>5341</v>
      </c>
      <c r="G1054" s="7" t="s">
        <v>5341</v>
      </c>
      <c r="H1054" s="7" t="s">
        <v>1736</v>
      </c>
      <c r="I1054" s="7" t="s">
        <v>1169</v>
      </c>
      <c r="J1054" s="7" t="s">
        <v>1306</v>
      </c>
      <c r="K1054" s="7" t="s">
        <v>580</v>
      </c>
      <c r="L1054" s="7" t="s">
        <v>581</v>
      </c>
      <c r="M1054" s="7">
        <v>35</v>
      </c>
      <c r="N1054" s="7">
        <v>8</v>
      </c>
      <c r="O1054" s="7" t="s">
        <v>42</v>
      </c>
      <c r="P1054" s="7" t="s">
        <v>58</v>
      </c>
      <c r="Q1054" s="7">
        <v>4</v>
      </c>
      <c r="R1054" s="7">
        <v>0</v>
      </c>
      <c r="S1054" s="7">
        <v>4</v>
      </c>
      <c r="T1054" s="7">
        <v>3</v>
      </c>
      <c r="U1054" s="7">
        <v>1</v>
      </c>
      <c r="V1054" s="7" t="s">
        <v>142</v>
      </c>
      <c r="W1054" s="7">
        <v>0</v>
      </c>
      <c r="X1054" s="7">
        <v>1</v>
      </c>
      <c r="Y1054" s="7">
        <v>1</v>
      </c>
      <c r="Z1054" s="7">
        <v>1</v>
      </c>
      <c r="AA1054" s="7">
        <v>23</v>
      </c>
      <c r="AB1054" s="7">
        <v>6</v>
      </c>
      <c r="AC1054" s="7" t="s">
        <v>0</v>
      </c>
      <c r="AD1054" s="7">
        <v>1</v>
      </c>
      <c r="AE1054" s="7" t="s">
        <v>45</v>
      </c>
    </row>
    <row r="1055" spans="1:31" ht="229.5" x14ac:dyDescent="0.2">
      <c r="A1055" s="8" t="str">
        <f>HYPERLINK("http://www.patentics.cn/invokexml.do?sx=showpatent_cn&amp;sf=ShowPatent&amp;spn=US9626258&amp;sx=showpatent_cn&amp;sv=62513a7e346ed8f8c802bfe6c8434db4","US9626258")</f>
        <v>US9626258</v>
      </c>
      <c r="B1055" s="9" t="s">
        <v>5342</v>
      </c>
      <c r="C1055" s="9" t="s">
        <v>5343</v>
      </c>
      <c r="D1055" s="9" t="s">
        <v>48</v>
      </c>
      <c r="E1055" s="9" t="s">
        <v>49</v>
      </c>
      <c r="F1055" s="9" t="s">
        <v>5344</v>
      </c>
      <c r="G1055" s="9" t="s">
        <v>5345</v>
      </c>
      <c r="H1055" s="9" t="s">
        <v>5170</v>
      </c>
      <c r="I1055" s="9" t="s">
        <v>1265</v>
      </c>
      <c r="J1055" s="9" t="s">
        <v>5346</v>
      </c>
      <c r="K1055" s="9" t="s">
        <v>885</v>
      </c>
      <c r="L1055" s="9" t="s">
        <v>1650</v>
      </c>
      <c r="M1055" s="9">
        <v>28</v>
      </c>
      <c r="N1055" s="9">
        <v>16</v>
      </c>
      <c r="O1055" s="9" t="s">
        <v>57</v>
      </c>
      <c r="P1055" s="9" t="s">
        <v>58</v>
      </c>
      <c r="Q1055" s="9">
        <v>19</v>
      </c>
      <c r="R1055" s="9">
        <v>2</v>
      </c>
      <c r="S1055" s="9">
        <v>17</v>
      </c>
      <c r="T1055" s="9">
        <v>16</v>
      </c>
      <c r="U1055" s="9">
        <v>0</v>
      </c>
      <c r="V1055" s="9" t="s">
        <v>114</v>
      </c>
      <c r="W1055" s="9">
        <v>0</v>
      </c>
      <c r="X1055" s="9">
        <v>0</v>
      </c>
      <c r="Y1055" s="9">
        <v>0</v>
      </c>
      <c r="Z1055" s="9">
        <v>0</v>
      </c>
      <c r="AA1055" s="9">
        <v>6</v>
      </c>
      <c r="AB1055" s="9">
        <v>6</v>
      </c>
      <c r="AC1055" s="9">
        <v>14</v>
      </c>
      <c r="AD1055" s="9" t="s">
        <v>0</v>
      </c>
      <c r="AE1055" s="9" t="s">
        <v>60</v>
      </c>
    </row>
    <row r="1056" spans="1:31" ht="38.25" x14ac:dyDescent="0.2">
      <c r="A1056" s="6" t="str">
        <f>HYPERLINK("http://www.patentics.cn/invokexml.do?sx=showpatent_cn&amp;sf=ShowPatent&amp;spn=CN102859662&amp;sx=showpatent_cn&amp;sv=68feeb577a98d4416d4a3a5c7a7ea315","CN102859662")</f>
        <v>CN102859662</v>
      </c>
      <c r="B1056" s="7" t="s">
        <v>5347</v>
      </c>
      <c r="C1056" s="7" t="s">
        <v>5348</v>
      </c>
      <c r="D1056" s="7" t="s">
        <v>5349</v>
      </c>
      <c r="E1056" s="7" t="s">
        <v>5350</v>
      </c>
      <c r="F1056" s="7" t="s">
        <v>5351</v>
      </c>
      <c r="G1056" s="7" t="s">
        <v>5352</v>
      </c>
      <c r="H1056" s="7" t="s">
        <v>690</v>
      </c>
      <c r="I1056" s="7" t="s">
        <v>5353</v>
      </c>
      <c r="J1056" s="7" t="s">
        <v>1306</v>
      </c>
      <c r="K1056" s="7" t="s">
        <v>773</v>
      </c>
      <c r="L1056" s="7" t="s">
        <v>5354</v>
      </c>
      <c r="M1056" s="7">
        <v>45</v>
      </c>
      <c r="N1056" s="7">
        <v>16</v>
      </c>
      <c r="O1056" s="7" t="s">
        <v>42</v>
      </c>
      <c r="P1056" s="7" t="s">
        <v>58</v>
      </c>
      <c r="Q1056" s="7">
        <v>6</v>
      </c>
      <c r="R1056" s="7">
        <v>3</v>
      </c>
      <c r="S1056" s="7">
        <v>3</v>
      </c>
      <c r="T1056" s="7">
        <v>4</v>
      </c>
      <c r="U1056" s="7">
        <v>2</v>
      </c>
      <c r="V1056" s="7" t="s">
        <v>5355</v>
      </c>
      <c r="W1056" s="7">
        <v>1</v>
      </c>
      <c r="X1056" s="7">
        <v>1</v>
      </c>
      <c r="Y1056" s="7">
        <v>2</v>
      </c>
      <c r="Z1056" s="7">
        <v>1</v>
      </c>
      <c r="AA1056" s="7">
        <v>19</v>
      </c>
      <c r="AB1056" s="7">
        <v>8</v>
      </c>
      <c r="AC1056" s="7" t="s">
        <v>0</v>
      </c>
      <c r="AD1056" s="7">
        <v>1</v>
      </c>
      <c r="AE1056" s="7" t="s">
        <v>60</v>
      </c>
    </row>
    <row r="1057" spans="1:31" ht="25.5" x14ac:dyDescent="0.2">
      <c r="A1057" s="8" t="str">
        <f>HYPERLINK("http://www.patentics.cn/invokexml.do?sx=showpatent_cn&amp;sf=ShowPatent&amp;spn=CN106030792B&amp;sx=showpatent_cn&amp;sv=fe8c3d61e5f23ea6b332c68e113421bc","CN106030792B")</f>
        <v>CN106030792B</v>
      </c>
      <c r="B1057" s="9" t="s">
        <v>5356</v>
      </c>
      <c r="C1057" s="9" t="s">
        <v>5357</v>
      </c>
      <c r="D1057" s="9" t="s">
        <v>301</v>
      </c>
      <c r="E1057" s="9" t="s">
        <v>301</v>
      </c>
      <c r="F1057" s="9" t="s">
        <v>5358</v>
      </c>
      <c r="G1057" s="9" t="s">
        <v>5359</v>
      </c>
      <c r="H1057" s="9" t="s">
        <v>5360</v>
      </c>
      <c r="I1057" s="9" t="s">
        <v>5361</v>
      </c>
      <c r="J1057" s="9" t="s">
        <v>5362</v>
      </c>
      <c r="K1057" s="9" t="s">
        <v>773</v>
      </c>
      <c r="L1057" s="9" t="s">
        <v>5363</v>
      </c>
      <c r="M1057" s="9">
        <v>18</v>
      </c>
      <c r="N1057" s="9">
        <v>14</v>
      </c>
      <c r="O1057" s="9" t="s">
        <v>57</v>
      </c>
      <c r="P1057" s="9" t="s">
        <v>58</v>
      </c>
      <c r="Q1057" s="9">
        <v>5</v>
      </c>
      <c r="R1057" s="9">
        <v>0</v>
      </c>
      <c r="S1057" s="9">
        <v>5</v>
      </c>
      <c r="T1057" s="9">
        <v>5</v>
      </c>
      <c r="U1057" s="9">
        <v>0</v>
      </c>
      <c r="V1057" s="9" t="s">
        <v>114</v>
      </c>
      <c r="W1057" s="9">
        <v>0</v>
      </c>
      <c r="X1057" s="9">
        <v>0</v>
      </c>
      <c r="Y1057" s="9">
        <v>0</v>
      </c>
      <c r="Z1057" s="9">
        <v>0</v>
      </c>
      <c r="AA1057" s="9">
        <v>0</v>
      </c>
      <c r="AB1057" s="9">
        <v>0</v>
      </c>
      <c r="AC1057" s="9">
        <v>14</v>
      </c>
      <c r="AD1057" s="9" t="s">
        <v>0</v>
      </c>
      <c r="AE1057" s="9" t="s">
        <v>60</v>
      </c>
    </row>
    <row r="1058" spans="1:31" ht="38.25" x14ac:dyDescent="0.2">
      <c r="A1058" s="6" t="str">
        <f>HYPERLINK("http://www.patentics.cn/invokexml.do?sx=showpatent_cn&amp;sf=ShowPatent&amp;spn=CN102833761&amp;sx=showpatent_cn&amp;sv=8c3465f4b413e7c39777849903433e8d","CN102833761")</f>
        <v>CN102833761</v>
      </c>
      <c r="B1058" s="7" t="s">
        <v>5364</v>
      </c>
      <c r="C1058" s="7" t="s">
        <v>5365</v>
      </c>
      <c r="D1058" s="7" t="s">
        <v>1341</v>
      </c>
      <c r="E1058" s="7" t="s">
        <v>1341</v>
      </c>
      <c r="F1058" s="7" t="s">
        <v>5366</v>
      </c>
      <c r="G1058" s="7" t="s">
        <v>5367</v>
      </c>
      <c r="H1058" s="7" t="s">
        <v>0</v>
      </c>
      <c r="I1058" s="7" t="s">
        <v>1330</v>
      </c>
      <c r="J1058" s="7" t="s">
        <v>3225</v>
      </c>
      <c r="K1058" s="7" t="s">
        <v>55</v>
      </c>
      <c r="L1058" s="7" t="s">
        <v>5194</v>
      </c>
      <c r="M1058" s="7">
        <v>6</v>
      </c>
      <c r="N1058" s="7">
        <v>23</v>
      </c>
      <c r="O1058" s="7" t="s">
        <v>42</v>
      </c>
      <c r="P1058" s="7" t="s">
        <v>43</v>
      </c>
      <c r="Q1058" s="7">
        <v>4</v>
      </c>
      <c r="R1058" s="7">
        <v>0</v>
      </c>
      <c r="S1058" s="7">
        <v>4</v>
      </c>
      <c r="T1058" s="7">
        <v>4</v>
      </c>
      <c r="U1058" s="7">
        <v>4</v>
      </c>
      <c r="V1058" s="7" t="s">
        <v>3150</v>
      </c>
      <c r="W1058" s="7">
        <v>0</v>
      </c>
      <c r="X1058" s="7">
        <v>4</v>
      </c>
      <c r="Y1058" s="7">
        <v>4</v>
      </c>
      <c r="Z1058" s="7">
        <v>2</v>
      </c>
      <c r="AA1058" s="7">
        <v>0</v>
      </c>
      <c r="AB1058" s="7">
        <v>0</v>
      </c>
      <c r="AC1058" s="7" t="s">
        <v>0</v>
      </c>
      <c r="AD1058" s="7">
        <v>1</v>
      </c>
      <c r="AE1058" s="7" t="s">
        <v>60</v>
      </c>
    </row>
    <row r="1059" spans="1:31" ht="102" x14ac:dyDescent="0.2">
      <c r="A1059" s="8" t="str">
        <f>HYPERLINK("http://www.patentics.cn/invokexml.do?sx=showpatent_cn&amp;sf=ShowPatent&amp;spn=WO2016054769&amp;sx=showpatent_cn&amp;sv=21101af7b4fd1d9dc3b58243f1553659","WO2016054769")</f>
        <v>WO2016054769</v>
      </c>
      <c r="B1059" s="9" t="s">
        <v>5132</v>
      </c>
      <c r="C1059" s="9" t="s">
        <v>5133</v>
      </c>
      <c r="D1059" s="9" t="s">
        <v>117</v>
      </c>
      <c r="E1059" s="9" t="s">
        <v>49</v>
      </c>
      <c r="F1059" s="9" t="s">
        <v>5134</v>
      </c>
      <c r="G1059" s="9" t="s">
        <v>5135</v>
      </c>
      <c r="H1059" s="9" t="s">
        <v>0</v>
      </c>
      <c r="I1059" s="9" t="s">
        <v>5136</v>
      </c>
      <c r="J1059" s="9" t="s">
        <v>5137</v>
      </c>
      <c r="K1059" s="9" t="s">
        <v>55</v>
      </c>
      <c r="L1059" s="9" t="s">
        <v>947</v>
      </c>
      <c r="M1059" s="9">
        <v>30</v>
      </c>
      <c r="N1059" s="9">
        <v>0</v>
      </c>
      <c r="O1059" s="9" t="s">
        <v>850</v>
      </c>
      <c r="P1059" s="9" t="s">
        <v>1932</v>
      </c>
      <c r="Q1059" s="9">
        <v>4</v>
      </c>
      <c r="R1059" s="9">
        <v>0</v>
      </c>
      <c r="S1059" s="9">
        <v>4</v>
      </c>
      <c r="T1059" s="9">
        <v>3</v>
      </c>
      <c r="U1059" s="9">
        <v>0</v>
      </c>
      <c r="V1059" s="9" t="s">
        <v>114</v>
      </c>
      <c r="W1059" s="9">
        <v>0</v>
      </c>
      <c r="X1059" s="9">
        <v>0</v>
      </c>
      <c r="Y1059" s="9">
        <v>0</v>
      </c>
      <c r="Z1059" s="9">
        <v>0</v>
      </c>
      <c r="AA1059" s="9">
        <v>0</v>
      </c>
      <c r="AB1059" s="9">
        <v>0</v>
      </c>
      <c r="AC1059" s="9">
        <v>14</v>
      </c>
      <c r="AD1059" s="9" t="s">
        <v>0</v>
      </c>
      <c r="AE1059" s="9" t="s">
        <v>0</v>
      </c>
    </row>
    <row r="1060" spans="1:31" ht="51" x14ac:dyDescent="0.2">
      <c r="A1060" s="6" t="str">
        <f>HYPERLINK("http://www.patentics.cn/invokexml.do?sx=showpatent_cn&amp;sf=ShowPatent&amp;spn=CN102780993&amp;sx=showpatent_cn&amp;sv=c7dea76a56aeb0b4126b48e1487b2f72","CN102780993")</f>
        <v>CN102780993</v>
      </c>
      <c r="B1060" s="7" t="s">
        <v>5368</v>
      </c>
      <c r="C1060" s="7" t="s">
        <v>5369</v>
      </c>
      <c r="D1060" s="7" t="s">
        <v>2320</v>
      </c>
      <c r="E1060" s="7" t="s">
        <v>2320</v>
      </c>
      <c r="F1060" s="7" t="s">
        <v>5370</v>
      </c>
      <c r="G1060" s="7" t="s">
        <v>5371</v>
      </c>
      <c r="H1060" s="7" t="s">
        <v>5372</v>
      </c>
      <c r="I1060" s="7" t="s">
        <v>5372</v>
      </c>
      <c r="J1060" s="7" t="s">
        <v>5373</v>
      </c>
      <c r="K1060" s="7" t="s">
        <v>55</v>
      </c>
      <c r="L1060" s="7" t="s">
        <v>5374</v>
      </c>
      <c r="M1060" s="7">
        <v>6</v>
      </c>
      <c r="N1060" s="7">
        <v>46</v>
      </c>
      <c r="O1060" s="7" t="s">
        <v>42</v>
      </c>
      <c r="P1060" s="7" t="s">
        <v>43</v>
      </c>
      <c r="Q1060" s="7">
        <v>3</v>
      </c>
      <c r="R1060" s="7">
        <v>0</v>
      </c>
      <c r="S1060" s="7">
        <v>3</v>
      </c>
      <c r="T1060" s="7">
        <v>3</v>
      </c>
      <c r="U1060" s="7">
        <v>32</v>
      </c>
      <c r="V1060" s="7" t="s">
        <v>5375</v>
      </c>
      <c r="W1060" s="7">
        <v>2</v>
      </c>
      <c r="X1060" s="7">
        <v>30</v>
      </c>
      <c r="Y1060" s="7">
        <v>13</v>
      </c>
      <c r="Z1060" s="7">
        <v>3</v>
      </c>
      <c r="AA1060" s="7">
        <v>1</v>
      </c>
      <c r="AB1060" s="7">
        <v>1</v>
      </c>
      <c r="AC1060" s="7" t="s">
        <v>0</v>
      </c>
      <c r="AD1060" s="7">
        <v>1</v>
      </c>
      <c r="AE1060" s="7" t="s">
        <v>532</v>
      </c>
    </row>
    <row r="1061" spans="1:31" ht="63.75" x14ac:dyDescent="0.2">
      <c r="A1061" s="8" t="str">
        <f>HYPERLINK("http://www.patentics.cn/invokexml.do?sx=showpatent_cn&amp;sf=ShowPatent&amp;spn=WO2016070637&amp;sx=showpatent_cn&amp;sv=9af11db178aeeab07dad685dba574a71","WO2016070637")</f>
        <v>WO2016070637</v>
      </c>
      <c r="B1061" s="9" t="s">
        <v>5376</v>
      </c>
      <c r="C1061" s="9" t="s">
        <v>5377</v>
      </c>
      <c r="D1061" s="9" t="s">
        <v>117</v>
      </c>
      <c r="E1061" s="9" t="s">
        <v>49</v>
      </c>
      <c r="F1061" s="9" t="s">
        <v>5378</v>
      </c>
      <c r="G1061" s="9" t="s">
        <v>5379</v>
      </c>
      <c r="H1061" s="9" t="s">
        <v>2399</v>
      </c>
      <c r="I1061" s="9" t="s">
        <v>5380</v>
      </c>
      <c r="J1061" s="9" t="s">
        <v>5381</v>
      </c>
      <c r="K1061" s="9" t="s">
        <v>55</v>
      </c>
      <c r="L1061" s="9" t="s">
        <v>197</v>
      </c>
      <c r="M1061" s="9">
        <v>28</v>
      </c>
      <c r="N1061" s="9">
        <v>0</v>
      </c>
      <c r="O1061" s="9" t="s">
        <v>850</v>
      </c>
      <c r="P1061" s="9" t="s">
        <v>43</v>
      </c>
      <c r="Q1061" s="9">
        <v>3</v>
      </c>
      <c r="R1061" s="9">
        <v>1</v>
      </c>
      <c r="S1061" s="9">
        <v>2</v>
      </c>
      <c r="T1061" s="9">
        <v>3</v>
      </c>
      <c r="U1061" s="9">
        <v>0</v>
      </c>
      <c r="V1061" s="9" t="s">
        <v>114</v>
      </c>
      <c r="W1061" s="9">
        <v>0</v>
      </c>
      <c r="X1061" s="9">
        <v>0</v>
      </c>
      <c r="Y1061" s="9">
        <v>0</v>
      </c>
      <c r="Z1061" s="9">
        <v>0</v>
      </c>
      <c r="AA1061" s="9">
        <v>1</v>
      </c>
      <c r="AB1061" s="9">
        <v>1</v>
      </c>
      <c r="AC1061" s="9">
        <v>14</v>
      </c>
      <c r="AD1061" s="9" t="s">
        <v>0</v>
      </c>
      <c r="AE1061" s="9" t="s">
        <v>0</v>
      </c>
    </row>
    <row r="1062" spans="1:31" ht="51" x14ac:dyDescent="0.2">
      <c r="A1062" s="6" t="str">
        <f>HYPERLINK("http://www.patentics.cn/invokexml.do?sx=showpatent_cn&amp;sf=ShowPatent&amp;spn=CN102723915&amp;sx=showpatent_cn&amp;sv=d9a6911939ed6e2f8d169c3d49824a8f","CN102723915")</f>
        <v>CN102723915</v>
      </c>
      <c r="B1062" s="7" t="s">
        <v>5382</v>
      </c>
      <c r="C1062" s="7" t="s">
        <v>5383</v>
      </c>
      <c r="D1062" s="7" t="s">
        <v>5384</v>
      </c>
      <c r="E1062" s="7" t="s">
        <v>5384</v>
      </c>
      <c r="F1062" s="7" t="s">
        <v>5385</v>
      </c>
      <c r="G1062" s="7" t="s">
        <v>5386</v>
      </c>
      <c r="H1062" s="7" t="s">
        <v>0</v>
      </c>
      <c r="I1062" s="7" t="s">
        <v>5387</v>
      </c>
      <c r="J1062" s="7" t="s">
        <v>5388</v>
      </c>
      <c r="K1062" s="7" t="s">
        <v>1993</v>
      </c>
      <c r="L1062" s="7" t="s">
        <v>3226</v>
      </c>
      <c r="M1062" s="7">
        <v>11</v>
      </c>
      <c r="N1062" s="7">
        <v>11</v>
      </c>
      <c r="O1062" s="7" t="s">
        <v>42</v>
      </c>
      <c r="P1062" s="7" t="s">
        <v>43</v>
      </c>
      <c r="Q1062" s="7">
        <v>1</v>
      </c>
      <c r="R1062" s="7">
        <v>0</v>
      </c>
      <c r="S1062" s="7">
        <v>1</v>
      </c>
      <c r="T1062" s="7">
        <v>1</v>
      </c>
      <c r="U1062" s="7">
        <v>4</v>
      </c>
      <c r="V1062" s="7" t="s">
        <v>3672</v>
      </c>
      <c r="W1062" s="7">
        <v>0</v>
      </c>
      <c r="X1062" s="7">
        <v>4</v>
      </c>
      <c r="Y1062" s="7">
        <v>3</v>
      </c>
      <c r="Z1062" s="7">
        <v>2</v>
      </c>
      <c r="AA1062" s="7">
        <v>0</v>
      </c>
      <c r="AB1062" s="7">
        <v>0</v>
      </c>
      <c r="AC1062" s="7" t="s">
        <v>0</v>
      </c>
      <c r="AD1062" s="7">
        <v>1</v>
      </c>
      <c r="AE1062" s="7" t="s">
        <v>60</v>
      </c>
    </row>
    <row r="1063" spans="1:31" ht="25.5" x14ac:dyDescent="0.2">
      <c r="A1063" s="8" t="str">
        <f>HYPERLINK("http://www.patentics.cn/invokexml.do?sx=showpatent_cn&amp;sf=ShowPatent&amp;spn=US9793858&amp;sx=showpatent_cn&amp;sv=88ca36e505227bf5dd3f8f70496bc986","US9793858")</f>
        <v>US9793858</v>
      </c>
      <c r="B1063" s="9" t="s">
        <v>5389</v>
      </c>
      <c r="C1063" s="9" t="s">
        <v>5390</v>
      </c>
      <c r="D1063" s="9" t="s">
        <v>780</v>
      </c>
      <c r="E1063" s="9" t="s">
        <v>49</v>
      </c>
      <c r="F1063" s="9" t="s">
        <v>5391</v>
      </c>
      <c r="G1063" s="9" t="s">
        <v>5391</v>
      </c>
      <c r="H1063" s="9" t="s">
        <v>2868</v>
      </c>
      <c r="I1063" s="9" t="s">
        <v>5392</v>
      </c>
      <c r="J1063" s="9" t="s">
        <v>3347</v>
      </c>
      <c r="K1063" s="9" t="s">
        <v>4554</v>
      </c>
      <c r="L1063" s="9" t="s">
        <v>4555</v>
      </c>
      <c r="M1063" s="9">
        <v>10</v>
      </c>
      <c r="N1063" s="9">
        <v>14</v>
      </c>
      <c r="O1063" s="9" t="s">
        <v>57</v>
      </c>
      <c r="P1063" s="9" t="s">
        <v>58</v>
      </c>
      <c r="Q1063" s="9">
        <v>10</v>
      </c>
      <c r="R1063" s="9">
        <v>0</v>
      </c>
      <c r="S1063" s="9">
        <v>10</v>
      </c>
      <c r="T1063" s="9">
        <v>10</v>
      </c>
      <c r="U1063" s="9">
        <v>0</v>
      </c>
      <c r="V1063" s="9" t="s">
        <v>114</v>
      </c>
      <c r="W1063" s="9">
        <v>0</v>
      </c>
      <c r="X1063" s="9">
        <v>0</v>
      </c>
      <c r="Y1063" s="9">
        <v>0</v>
      </c>
      <c r="Z1063" s="9">
        <v>0</v>
      </c>
      <c r="AA1063" s="9">
        <v>0</v>
      </c>
      <c r="AB1063" s="9">
        <v>0</v>
      </c>
      <c r="AC1063" s="9">
        <v>14</v>
      </c>
      <c r="AD1063" s="9" t="s">
        <v>0</v>
      </c>
      <c r="AE1063" s="9" t="s">
        <v>60</v>
      </c>
    </row>
    <row r="1064" spans="1:31" ht="38.25" x14ac:dyDescent="0.2">
      <c r="A1064" s="6" t="str">
        <f>HYPERLINK("http://www.patentics.cn/invokexml.do?sx=showpatent_cn&amp;sf=ShowPatent&amp;spn=CN102685532&amp;sx=showpatent_cn&amp;sv=7b82aceaca40d4ac3d7f3c5f53f89cf9","CN102685532")</f>
        <v>CN102685532</v>
      </c>
      <c r="B1064" s="7" t="s">
        <v>5393</v>
      </c>
      <c r="C1064" s="7" t="s">
        <v>5394</v>
      </c>
      <c r="D1064" s="7" t="s">
        <v>3430</v>
      </c>
      <c r="E1064" s="7" t="s">
        <v>3430</v>
      </c>
      <c r="F1064" s="7" t="s">
        <v>5395</v>
      </c>
      <c r="G1064" s="7" t="s">
        <v>5396</v>
      </c>
      <c r="H1064" s="7" t="s">
        <v>5397</v>
      </c>
      <c r="I1064" s="7" t="s">
        <v>5397</v>
      </c>
      <c r="J1064" s="7" t="s">
        <v>2384</v>
      </c>
      <c r="K1064" s="7" t="s">
        <v>714</v>
      </c>
      <c r="L1064" s="7" t="s">
        <v>3448</v>
      </c>
      <c r="M1064" s="7">
        <v>1</v>
      </c>
      <c r="N1064" s="7">
        <v>94</v>
      </c>
      <c r="O1064" s="7" t="s">
        <v>42</v>
      </c>
      <c r="P1064" s="7" t="s">
        <v>43</v>
      </c>
      <c r="Q1064" s="7">
        <v>2</v>
      </c>
      <c r="R1064" s="7">
        <v>0</v>
      </c>
      <c r="S1064" s="7">
        <v>2</v>
      </c>
      <c r="T1064" s="7">
        <v>2</v>
      </c>
      <c r="U1064" s="7">
        <v>1</v>
      </c>
      <c r="V1064" s="7" t="s">
        <v>466</v>
      </c>
      <c r="W1064" s="7">
        <v>0</v>
      </c>
      <c r="X1064" s="7">
        <v>1</v>
      </c>
      <c r="Y1064" s="7">
        <v>1</v>
      </c>
      <c r="Z1064" s="7">
        <v>1</v>
      </c>
      <c r="AA1064" s="7">
        <v>1</v>
      </c>
      <c r="AB1064" s="7">
        <v>1</v>
      </c>
      <c r="AC1064" s="7" t="s">
        <v>0</v>
      </c>
      <c r="AD1064" s="7">
        <v>1</v>
      </c>
      <c r="AE1064" s="7" t="s">
        <v>532</v>
      </c>
    </row>
    <row r="1065" spans="1:31" ht="63.75" x14ac:dyDescent="0.2">
      <c r="A1065" s="8" t="str">
        <f>HYPERLINK("http://www.patentics.cn/invokexml.do?sx=showpatent_cn&amp;sf=ShowPatent&amp;spn=WO2015043501&amp;sx=showpatent_cn&amp;sv=e81f831954c57c21bd679c04caba5b90","WO2015043501")</f>
        <v>WO2015043501</v>
      </c>
      <c r="B1065" s="9" t="s">
        <v>3442</v>
      </c>
      <c r="C1065" s="9" t="s">
        <v>3443</v>
      </c>
      <c r="D1065" s="9" t="s">
        <v>117</v>
      </c>
      <c r="E1065" s="9" t="s">
        <v>49</v>
      </c>
      <c r="F1065" s="9" t="s">
        <v>3444</v>
      </c>
      <c r="G1065" s="9" t="s">
        <v>3445</v>
      </c>
      <c r="H1065" s="9" t="s">
        <v>3446</v>
      </c>
      <c r="I1065" s="9" t="s">
        <v>3447</v>
      </c>
      <c r="J1065" s="9" t="s">
        <v>847</v>
      </c>
      <c r="K1065" s="9" t="s">
        <v>714</v>
      </c>
      <c r="L1065" s="9" t="s">
        <v>3448</v>
      </c>
      <c r="M1065" s="9">
        <v>30</v>
      </c>
      <c r="N1065" s="9">
        <v>0</v>
      </c>
      <c r="O1065" s="9" t="s">
        <v>850</v>
      </c>
      <c r="P1065" s="9" t="s">
        <v>58</v>
      </c>
      <c r="Q1065" s="9">
        <v>3</v>
      </c>
      <c r="R1065" s="9">
        <v>0</v>
      </c>
      <c r="S1065" s="9">
        <v>3</v>
      </c>
      <c r="T1065" s="9">
        <v>2</v>
      </c>
      <c r="U1065" s="9">
        <v>0</v>
      </c>
      <c r="V1065" s="9" t="s">
        <v>114</v>
      </c>
      <c r="W1065" s="9">
        <v>0</v>
      </c>
      <c r="X1065" s="9">
        <v>0</v>
      </c>
      <c r="Y1065" s="9">
        <v>0</v>
      </c>
      <c r="Z1065" s="9">
        <v>0</v>
      </c>
      <c r="AA1065" s="9">
        <v>5</v>
      </c>
      <c r="AB1065" s="9">
        <v>5</v>
      </c>
      <c r="AC1065" s="9">
        <v>14</v>
      </c>
      <c r="AD1065" s="9" t="s">
        <v>0</v>
      </c>
      <c r="AE1065" s="9" t="s">
        <v>0</v>
      </c>
    </row>
    <row r="1066" spans="1:31" ht="51" x14ac:dyDescent="0.2">
      <c r="A1066" s="6" t="str">
        <f>HYPERLINK("http://www.patentics.cn/invokexml.do?sx=showpatent_cn&amp;sf=ShowPatent&amp;spn=CN102665170&amp;sx=showpatent_cn&amp;sv=c6af075ba2a8e5f3e7931dda42a9c86f","CN102665170")</f>
        <v>CN102665170</v>
      </c>
      <c r="B1066" s="7" t="s">
        <v>5398</v>
      </c>
      <c r="C1066" s="7" t="s">
        <v>5399</v>
      </c>
      <c r="D1066" s="7" t="s">
        <v>1097</v>
      </c>
      <c r="E1066" s="7" t="s">
        <v>1097</v>
      </c>
      <c r="F1066" s="7" t="s">
        <v>5400</v>
      </c>
      <c r="G1066" s="7" t="s">
        <v>5401</v>
      </c>
      <c r="H1066" s="7" t="s">
        <v>5402</v>
      </c>
      <c r="I1066" s="7" t="s">
        <v>5402</v>
      </c>
      <c r="J1066" s="7" t="s">
        <v>1423</v>
      </c>
      <c r="K1066" s="7" t="s">
        <v>55</v>
      </c>
      <c r="L1066" s="7" t="s">
        <v>975</v>
      </c>
      <c r="M1066" s="7">
        <v>12</v>
      </c>
      <c r="N1066" s="7">
        <v>22</v>
      </c>
      <c r="O1066" s="7" t="s">
        <v>42</v>
      </c>
      <c r="P1066" s="7" t="s">
        <v>43</v>
      </c>
      <c r="Q1066" s="7">
        <v>4</v>
      </c>
      <c r="R1066" s="7">
        <v>0</v>
      </c>
      <c r="S1066" s="7">
        <v>4</v>
      </c>
      <c r="T1066" s="7">
        <v>4</v>
      </c>
      <c r="U1066" s="7">
        <v>2</v>
      </c>
      <c r="V1066" s="7" t="s">
        <v>376</v>
      </c>
      <c r="W1066" s="7">
        <v>0</v>
      </c>
      <c r="X1066" s="7">
        <v>2</v>
      </c>
      <c r="Y1066" s="7">
        <v>2</v>
      </c>
      <c r="Z1066" s="7">
        <v>2</v>
      </c>
      <c r="AA1066" s="7">
        <v>1</v>
      </c>
      <c r="AB1066" s="7">
        <v>1</v>
      </c>
      <c r="AC1066" s="7" t="s">
        <v>0</v>
      </c>
      <c r="AD1066" s="7">
        <v>1</v>
      </c>
      <c r="AE1066" s="7" t="s">
        <v>60</v>
      </c>
    </row>
    <row r="1067" spans="1:31" ht="89.25" x14ac:dyDescent="0.2">
      <c r="A1067" s="8" t="str">
        <f>HYPERLINK("http://www.patentics.cn/invokexml.do?sx=showpatent_cn&amp;sf=ShowPatent&amp;spn=US9591604&amp;sx=showpatent_cn&amp;sv=d70e1bb84c3bd225193cbf4a5263d691","US9591604")</f>
        <v>US9591604</v>
      </c>
      <c r="B1067" s="9" t="s">
        <v>5403</v>
      </c>
      <c r="C1067" s="9" t="s">
        <v>5404</v>
      </c>
      <c r="D1067" s="9" t="s">
        <v>48</v>
      </c>
      <c r="E1067" s="9" t="s">
        <v>49</v>
      </c>
      <c r="F1067" s="9" t="s">
        <v>5405</v>
      </c>
      <c r="G1067" s="9" t="s">
        <v>5406</v>
      </c>
      <c r="H1067" s="9" t="s">
        <v>5407</v>
      </c>
      <c r="I1067" s="9" t="s">
        <v>5360</v>
      </c>
      <c r="J1067" s="9" t="s">
        <v>3194</v>
      </c>
      <c r="K1067" s="9" t="s">
        <v>55</v>
      </c>
      <c r="L1067" s="9" t="s">
        <v>947</v>
      </c>
      <c r="M1067" s="9">
        <v>30</v>
      </c>
      <c r="N1067" s="9">
        <v>14</v>
      </c>
      <c r="O1067" s="9" t="s">
        <v>57</v>
      </c>
      <c r="P1067" s="9" t="s">
        <v>58</v>
      </c>
      <c r="Q1067" s="9">
        <v>14</v>
      </c>
      <c r="R1067" s="9">
        <v>4</v>
      </c>
      <c r="S1067" s="9">
        <v>10</v>
      </c>
      <c r="T1067" s="9">
        <v>10</v>
      </c>
      <c r="U1067" s="9">
        <v>0</v>
      </c>
      <c r="V1067" s="9" t="s">
        <v>114</v>
      </c>
      <c r="W1067" s="9">
        <v>0</v>
      </c>
      <c r="X1067" s="9">
        <v>0</v>
      </c>
      <c r="Y1067" s="9">
        <v>0</v>
      </c>
      <c r="Z1067" s="9">
        <v>0</v>
      </c>
      <c r="AA1067" s="9">
        <v>7</v>
      </c>
      <c r="AB1067" s="9">
        <v>6</v>
      </c>
      <c r="AC1067" s="9">
        <v>14</v>
      </c>
      <c r="AD1067" s="9" t="s">
        <v>0</v>
      </c>
      <c r="AE1067" s="9" t="s">
        <v>60</v>
      </c>
    </row>
    <row r="1068" spans="1:31" ht="51" x14ac:dyDescent="0.2">
      <c r="A1068" s="6" t="str">
        <f>HYPERLINK("http://www.patentics.cn/invokexml.do?sx=showpatent_cn&amp;sf=ShowPatent&amp;spn=CN102664687&amp;sx=showpatent_cn&amp;sv=b35c7875473f5d0c4c84cbc3ad08717f","CN102664687")</f>
        <v>CN102664687</v>
      </c>
      <c r="B1068" s="7" t="s">
        <v>5408</v>
      </c>
      <c r="C1068" s="7" t="s">
        <v>5409</v>
      </c>
      <c r="D1068" s="7" t="s">
        <v>5128</v>
      </c>
      <c r="E1068" s="7" t="s">
        <v>2320</v>
      </c>
      <c r="F1068" s="7" t="s">
        <v>5410</v>
      </c>
      <c r="G1068" s="7" t="s">
        <v>5411</v>
      </c>
      <c r="H1068" s="7" t="s">
        <v>3789</v>
      </c>
      <c r="I1068" s="7" t="s">
        <v>3789</v>
      </c>
      <c r="J1068" s="7" t="s">
        <v>1423</v>
      </c>
      <c r="K1068" s="7" t="s">
        <v>89</v>
      </c>
      <c r="L1068" s="7" t="s">
        <v>5412</v>
      </c>
      <c r="M1068" s="7">
        <v>4</v>
      </c>
      <c r="N1068" s="7">
        <v>34</v>
      </c>
      <c r="O1068" s="7" t="s">
        <v>42</v>
      </c>
      <c r="P1068" s="7" t="s">
        <v>43</v>
      </c>
      <c r="Q1068" s="7">
        <v>2</v>
      </c>
      <c r="R1068" s="7">
        <v>1</v>
      </c>
      <c r="S1068" s="7">
        <v>1</v>
      </c>
      <c r="T1068" s="7">
        <v>2</v>
      </c>
      <c r="U1068" s="7">
        <v>6</v>
      </c>
      <c r="V1068" s="7" t="s">
        <v>5413</v>
      </c>
      <c r="W1068" s="7">
        <v>0</v>
      </c>
      <c r="X1068" s="7">
        <v>6</v>
      </c>
      <c r="Y1068" s="7">
        <v>5</v>
      </c>
      <c r="Z1068" s="7">
        <v>3</v>
      </c>
      <c r="AA1068" s="7">
        <v>1</v>
      </c>
      <c r="AB1068" s="7">
        <v>1</v>
      </c>
      <c r="AC1068" s="7" t="s">
        <v>0</v>
      </c>
      <c r="AD1068" s="7">
        <v>1</v>
      </c>
      <c r="AE1068" s="7" t="s">
        <v>60</v>
      </c>
    </row>
    <row r="1069" spans="1:31" ht="38.25" x14ac:dyDescent="0.2">
      <c r="A1069" s="8" t="str">
        <f>HYPERLINK("http://www.patentics.cn/invokexml.do?sx=showpatent_cn&amp;sf=ShowPatent&amp;spn=US9160590&amp;sx=showpatent_cn&amp;sv=9e7eeba349c12ca1e4b0a6555b4a1c39","US9160590")</f>
        <v>US9160590</v>
      </c>
      <c r="B1069" s="9" t="s">
        <v>5414</v>
      </c>
      <c r="C1069" s="9" t="s">
        <v>5415</v>
      </c>
      <c r="D1069" s="9" t="s">
        <v>48</v>
      </c>
      <c r="E1069" s="9" t="s">
        <v>49</v>
      </c>
      <c r="F1069" s="9" t="s">
        <v>5416</v>
      </c>
      <c r="G1069" s="9" t="s">
        <v>5416</v>
      </c>
      <c r="H1069" s="9" t="s">
        <v>3858</v>
      </c>
      <c r="I1069" s="9" t="s">
        <v>3858</v>
      </c>
      <c r="J1069" s="9" t="s">
        <v>472</v>
      </c>
      <c r="K1069" s="9" t="s">
        <v>68</v>
      </c>
      <c r="L1069" s="9" t="s">
        <v>5417</v>
      </c>
      <c r="M1069" s="9">
        <v>19</v>
      </c>
      <c r="N1069" s="9">
        <v>21</v>
      </c>
      <c r="O1069" s="9" t="s">
        <v>57</v>
      </c>
      <c r="P1069" s="9" t="s">
        <v>58</v>
      </c>
      <c r="Q1069" s="9">
        <v>13</v>
      </c>
      <c r="R1069" s="9">
        <v>0</v>
      </c>
      <c r="S1069" s="9">
        <v>13</v>
      </c>
      <c r="T1069" s="9">
        <v>10</v>
      </c>
      <c r="U1069" s="9">
        <v>0</v>
      </c>
      <c r="V1069" s="9" t="s">
        <v>114</v>
      </c>
      <c r="W1069" s="9">
        <v>0</v>
      </c>
      <c r="X1069" s="9">
        <v>0</v>
      </c>
      <c r="Y1069" s="9">
        <v>0</v>
      </c>
      <c r="Z1069" s="9">
        <v>0</v>
      </c>
      <c r="AA1069" s="9">
        <v>3</v>
      </c>
      <c r="AB1069" s="9">
        <v>2</v>
      </c>
      <c r="AC1069" s="9">
        <v>14</v>
      </c>
      <c r="AD1069" s="9" t="s">
        <v>0</v>
      </c>
      <c r="AE1069" s="9" t="s">
        <v>60</v>
      </c>
    </row>
    <row r="1070" spans="1:31" ht="25.5" x14ac:dyDescent="0.2">
      <c r="A1070" s="6" t="str">
        <f>HYPERLINK("http://www.patentics.cn/invokexml.do?sx=showpatent_cn&amp;sf=ShowPatent&amp;spn=CN102663718&amp;sx=showpatent_cn&amp;sv=7bb760046e8141109468f2e95223cf6c","CN102663718")</f>
        <v>CN102663718</v>
      </c>
      <c r="B1070" s="7" t="s">
        <v>5418</v>
      </c>
      <c r="C1070" s="7" t="s">
        <v>5419</v>
      </c>
      <c r="D1070" s="7" t="s">
        <v>1383</v>
      </c>
      <c r="E1070" s="7" t="s">
        <v>1383</v>
      </c>
      <c r="F1070" s="7" t="s">
        <v>5420</v>
      </c>
      <c r="G1070" s="7" t="s">
        <v>1730</v>
      </c>
      <c r="H1070" s="7" t="s">
        <v>5421</v>
      </c>
      <c r="I1070" s="7" t="s">
        <v>5421</v>
      </c>
      <c r="J1070" s="7" t="s">
        <v>1423</v>
      </c>
      <c r="K1070" s="7" t="s">
        <v>2163</v>
      </c>
      <c r="L1070" s="7" t="s">
        <v>5422</v>
      </c>
      <c r="M1070" s="7">
        <v>15</v>
      </c>
      <c r="N1070" s="7">
        <v>22</v>
      </c>
      <c r="O1070" s="7" t="s">
        <v>42</v>
      </c>
      <c r="P1070" s="7" t="s">
        <v>43</v>
      </c>
      <c r="Q1070" s="7">
        <v>5</v>
      </c>
      <c r="R1070" s="7">
        <v>3</v>
      </c>
      <c r="S1070" s="7">
        <v>2</v>
      </c>
      <c r="T1070" s="7">
        <v>3</v>
      </c>
      <c r="U1070" s="7">
        <v>3</v>
      </c>
      <c r="V1070" s="7" t="s">
        <v>3882</v>
      </c>
      <c r="W1070" s="7">
        <v>0</v>
      </c>
      <c r="X1070" s="7">
        <v>3</v>
      </c>
      <c r="Y1070" s="7">
        <v>2</v>
      </c>
      <c r="Z1070" s="7">
        <v>1</v>
      </c>
      <c r="AA1070" s="7">
        <v>1</v>
      </c>
      <c r="AB1070" s="7">
        <v>1</v>
      </c>
      <c r="AC1070" s="7" t="s">
        <v>0</v>
      </c>
      <c r="AD1070" s="7">
        <v>1</v>
      </c>
      <c r="AE1070" s="7" t="s">
        <v>60</v>
      </c>
    </row>
    <row r="1071" spans="1:31" ht="38.25" x14ac:dyDescent="0.2">
      <c r="A1071" s="8" t="str">
        <f>HYPERLINK("http://www.patentics.cn/invokexml.do?sx=showpatent_cn&amp;sf=ShowPatent&amp;spn=CN105009172B&amp;sx=showpatent_cn&amp;sv=e3d1564222fe8999849546ec80544a06","CN105009172B")</f>
        <v>CN105009172B</v>
      </c>
      <c r="B1071" s="9" t="s">
        <v>5182</v>
      </c>
      <c r="C1071" s="9" t="s">
        <v>5183</v>
      </c>
      <c r="D1071" s="9" t="s">
        <v>301</v>
      </c>
      <c r="E1071" s="9" t="s">
        <v>301</v>
      </c>
      <c r="F1071" s="9" t="s">
        <v>5184</v>
      </c>
      <c r="G1071" s="9" t="s">
        <v>5185</v>
      </c>
      <c r="H1071" s="9" t="s">
        <v>734</v>
      </c>
      <c r="I1071" s="9" t="s">
        <v>5186</v>
      </c>
      <c r="J1071" s="9" t="s">
        <v>5187</v>
      </c>
      <c r="K1071" s="9" t="s">
        <v>2163</v>
      </c>
      <c r="L1071" s="9" t="s">
        <v>3162</v>
      </c>
      <c r="M1071" s="9">
        <v>12</v>
      </c>
      <c r="N1071" s="9">
        <v>19</v>
      </c>
      <c r="O1071" s="9" t="s">
        <v>57</v>
      </c>
      <c r="P1071" s="9" t="s">
        <v>58</v>
      </c>
      <c r="Q1071" s="9">
        <v>3</v>
      </c>
      <c r="R1071" s="9">
        <v>0</v>
      </c>
      <c r="S1071" s="9">
        <v>3</v>
      </c>
      <c r="T1071" s="9">
        <v>3</v>
      </c>
      <c r="U1071" s="9">
        <v>0</v>
      </c>
      <c r="V1071" s="9" t="s">
        <v>114</v>
      </c>
      <c r="W1071" s="9">
        <v>0</v>
      </c>
      <c r="X1071" s="9">
        <v>0</v>
      </c>
      <c r="Y1071" s="9">
        <v>0</v>
      </c>
      <c r="Z1071" s="9">
        <v>0</v>
      </c>
      <c r="AA1071" s="9">
        <v>9</v>
      </c>
      <c r="AB1071" s="9">
        <v>6</v>
      </c>
      <c r="AC1071" s="9">
        <v>14</v>
      </c>
      <c r="AD1071" s="9" t="s">
        <v>0</v>
      </c>
      <c r="AE1071" s="9" t="s">
        <v>60</v>
      </c>
    </row>
    <row r="1072" spans="1:31" ht="51" x14ac:dyDescent="0.2">
      <c r="A1072" s="6" t="str">
        <f>HYPERLINK("http://www.patentics.cn/invokexml.do?sx=showpatent_cn&amp;sf=ShowPatent&amp;spn=CN102645645&amp;sx=showpatent_cn&amp;sv=4f407e5b6f822805df5c9657da140b1a","CN102645645")</f>
        <v>CN102645645</v>
      </c>
      <c r="B1072" s="7" t="s">
        <v>5423</v>
      </c>
      <c r="C1072" s="7" t="s">
        <v>5424</v>
      </c>
      <c r="D1072" s="7" t="s">
        <v>3375</v>
      </c>
      <c r="E1072" s="7" t="s">
        <v>3375</v>
      </c>
      <c r="F1072" s="7" t="s">
        <v>5425</v>
      </c>
      <c r="G1072" s="7" t="s">
        <v>5426</v>
      </c>
      <c r="H1072" s="7" t="s">
        <v>0</v>
      </c>
      <c r="I1072" s="7" t="s">
        <v>5427</v>
      </c>
      <c r="J1072" s="7" t="s">
        <v>3875</v>
      </c>
      <c r="K1072" s="7" t="s">
        <v>1142</v>
      </c>
      <c r="L1072" s="7" t="s">
        <v>1457</v>
      </c>
      <c r="M1072" s="7">
        <v>5</v>
      </c>
      <c r="N1072" s="7">
        <v>43</v>
      </c>
      <c r="O1072" s="7" t="s">
        <v>42</v>
      </c>
      <c r="P1072" s="7" t="s">
        <v>43</v>
      </c>
      <c r="Q1072" s="7">
        <v>0</v>
      </c>
      <c r="R1072" s="7">
        <v>0</v>
      </c>
      <c r="S1072" s="7">
        <v>0</v>
      </c>
      <c r="T1072" s="7">
        <v>0</v>
      </c>
      <c r="U1072" s="7">
        <v>4</v>
      </c>
      <c r="V1072" s="7" t="s">
        <v>5428</v>
      </c>
      <c r="W1072" s="7">
        <v>0</v>
      </c>
      <c r="X1072" s="7">
        <v>4</v>
      </c>
      <c r="Y1072" s="7">
        <v>3</v>
      </c>
      <c r="Z1072" s="7">
        <v>1</v>
      </c>
      <c r="AA1072" s="7">
        <v>0</v>
      </c>
      <c r="AB1072" s="7">
        <v>0</v>
      </c>
      <c r="AC1072" s="7" t="s">
        <v>0</v>
      </c>
      <c r="AD1072" s="7">
        <v>1</v>
      </c>
      <c r="AE1072" s="7" t="s">
        <v>45</v>
      </c>
    </row>
    <row r="1073" spans="1:31" ht="25.5" x14ac:dyDescent="0.2">
      <c r="A1073" s="8" t="str">
        <f>HYPERLINK("http://www.patentics.cn/invokexml.do?sx=showpatent_cn&amp;sf=ShowPatent&amp;spn=CN104854472B&amp;sx=showpatent_cn&amp;sv=8c5cc7699fc5cd553beddf0a4960646e","CN104854472B")</f>
        <v>CN104854472B</v>
      </c>
      <c r="B1073" s="9" t="s">
        <v>5429</v>
      </c>
      <c r="C1073" s="9" t="s">
        <v>5430</v>
      </c>
      <c r="D1073" s="9" t="s">
        <v>301</v>
      </c>
      <c r="E1073" s="9" t="s">
        <v>301</v>
      </c>
      <c r="F1073" s="9" t="s">
        <v>5431</v>
      </c>
      <c r="G1073" s="9" t="s">
        <v>5432</v>
      </c>
      <c r="H1073" s="9" t="s">
        <v>5433</v>
      </c>
      <c r="I1073" s="9" t="s">
        <v>5085</v>
      </c>
      <c r="J1073" s="9" t="s">
        <v>1444</v>
      </c>
      <c r="K1073" s="9" t="s">
        <v>1142</v>
      </c>
      <c r="L1073" s="9" t="s">
        <v>1143</v>
      </c>
      <c r="M1073" s="9">
        <v>17</v>
      </c>
      <c r="N1073" s="9">
        <v>16</v>
      </c>
      <c r="O1073" s="9" t="s">
        <v>57</v>
      </c>
      <c r="P1073" s="9" t="s">
        <v>58</v>
      </c>
      <c r="Q1073" s="9">
        <v>8</v>
      </c>
      <c r="R1073" s="9">
        <v>1</v>
      </c>
      <c r="S1073" s="9">
        <v>7</v>
      </c>
      <c r="T1073" s="9">
        <v>8</v>
      </c>
      <c r="U1073" s="9">
        <v>0</v>
      </c>
      <c r="V1073" s="9" t="s">
        <v>114</v>
      </c>
      <c r="W1073" s="9">
        <v>0</v>
      </c>
      <c r="X1073" s="9">
        <v>0</v>
      </c>
      <c r="Y1073" s="9">
        <v>0</v>
      </c>
      <c r="Z1073" s="9">
        <v>0</v>
      </c>
      <c r="AA1073" s="9">
        <v>0</v>
      </c>
      <c r="AB1073" s="9">
        <v>0</v>
      </c>
      <c r="AC1073" s="9">
        <v>14</v>
      </c>
      <c r="AD1073" s="9" t="s">
        <v>0</v>
      </c>
      <c r="AE1073" s="9" t="s">
        <v>60</v>
      </c>
    </row>
    <row r="1074" spans="1:31" ht="38.25" x14ac:dyDescent="0.2">
      <c r="A1074" s="6" t="str">
        <f>HYPERLINK("http://www.patentics.cn/invokexml.do?sx=showpatent_cn&amp;sf=ShowPatent&amp;spn=CN102624659&amp;sx=showpatent_cn&amp;sv=501c94ec6dd838da11a605a9938ca9bf","CN102624659")</f>
        <v>CN102624659</v>
      </c>
      <c r="B1074" s="7" t="s">
        <v>5434</v>
      </c>
      <c r="C1074" s="7" t="s">
        <v>5435</v>
      </c>
      <c r="D1074" s="7" t="s">
        <v>5436</v>
      </c>
      <c r="E1074" s="7" t="s">
        <v>5436</v>
      </c>
      <c r="F1074" s="7" t="s">
        <v>5437</v>
      </c>
      <c r="G1074" s="7" t="s">
        <v>5438</v>
      </c>
      <c r="H1074" s="7" t="s">
        <v>5439</v>
      </c>
      <c r="I1074" s="7" t="s">
        <v>5439</v>
      </c>
      <c r="J1074" s="7" t="s">
        <v>5440</v>
      </c>
      <c r="K1074" s="7" t="s">
        <v>68</v>
      </c>
      <c r="L1074" s="7" t="s">
        <v>5441</v>
      </c>
      <c r="M1074" s="7">
        <v>5</v>
      </c>
      <c r="N1074" s="7">
        <v>28</v>
      </c>
      <c r="O1074" s="7" t="s">
        <v>42</v>
      </c>
      <c r="P1074" s="7" t="s">
        <v>43</v>
      </c>
      <c r="Q1074" s="7">
        <v>2</v>
      </c>
      <c r="R1074" s="7">
        <v>0</v>
      </c>
      <c r="S1074" s="7">
        <v>2</v>
      </c>
      <c r="T1074" s="7">
        <v>2</v>
      </c>
      <c r="U1074" s="7">
        <v>2</v>
      </c>
      <c r="V1074" s="7" t="s">
        <v>5243</v>
      </c>
      <c r="W1074" s="7">
        <v>0</v>
      </c>
      <c r="X1074" s="7">
        <v>2</v>
      </c>
      <c r="Y1074" s="7">
        <v>2</v>
      </c>
      <c r="Z1074" s="7">
        <v>2</v>
      </c>
      <c r="AA1074" s="7">
        <v>1</v>
      </c>
      <c r="AB1074" s="7">
        <v>1</v>
      </c>
      <c r="AC1074" s="7" t="s">
        <v>0</v>
      </c>
      <c r="AD1074" s="7">
        <v>1</v>
      </c>
      <c r="AE1074" s="7" t="s">
        <v>532</v>
      </c>
    </row>
    <row r="1075" spans="1:31" ht="191.25" x14ac:dyDescent="0.2">
      <c r="A1075" s="8" t="str">
        <f>HYPERLINK("http://www.patentics.cn/invokexml.do?sx=showpatent_cn&amp;sf=ShowPatent&amp;spn=WO2015131314&amp;sx=showpatent_cn&amp;sv=0abe55284fa63487ceb23fa0aa51283e","WO2015131314")</f>
        <v>WO2015131314</v>
      </c>
      <c r="B1075" s="9" t="s">
        <v>5442</v>
      </c>
      <c r="C1075" s="9" t="s">
        <v>5443</v>
      </c>
      <c r="D1075" s="9" t="s">
        <v>117</v>
      </c>
      <c r="E1075" s="9" t="s">
        <v>49</v>
      </c>
      <c r="F1075" s="9" t="s">
        <v>5444</v>
      </c>
      <c r="G1075" s="9" t="s">
        <v>5445</v>
      </c>
      <c r="H1075" s="9" t="s">
        <v>0</v>
      </c>
      <c r="I1075" s="9" t="s">
        <v>4992</v>
      </c>
      <c r="J1075" s="9" t="s">
        <v>5446</v>
      </c>
      <c r="K1075" s="9" t="s">
        <v>89</v>
      </c>
      <c r="L1075" s="9" t="s">
        <v>5447</v>
      </c>
      <c r="M1075" s="9">
        <v>30</v>
      </c>
      <c r="N1075" s="9">
        <v>17</v>
      </c>
      <c r="O1075" s="9" t="s">
        <v>850</v>
      </c>
      <c r="P1075" s="9" t="s">
        <v>1932</v>
      </c>
      <c r="Q1075" s="9">
        <v>4</v>
      </c>
      <c r="R1075" s="9">
        <v>0</v>
      </c>
      <c r="S1075" s="9">
        <v>4</v>
      </c>
      <c r="T1075" s="9">
        <v>4</v>
      </c>
      <c r="U1075" s="9">
        <v>0</v>
      </c>
      <c r="V1075" s="9" t="s">
        <v>114</v>
      </c>
      <c r="W1075" s="9">
        <v>0</v>
      </c>
      <c r="X1075" s="9">
        <v>0</v>
      </c>
      <c r="Y1075" s="9">
        <v>0</v>
      </c>
      <c r="Z1075" s="9">
        <v>0</v>
      </c>
      <c r="AA1075" s="9">
        <v>0</v>
      </c>
      <c r="AB1075" s="9">
        <v>0</v>
      </c>
      <c r="AC1075" s="9">
        <v>14</v>
      </c>
      <c r="AD1075" s="9" t="s">
        <v>0</v>
      </c>
      <c r="AE1075" s="9" t="s">
        <v>0</v>
      </c>
    </row>
    <row r="1076" spans="1:31" ht="25.5" x14ac:dyDescent="0.2">
      <c r="A1076" s="6" t="str">
        <f>HYPERLINK("http://www.patentics.cn/invokexml.do?sx=showpatent_cn&amp;sf=ShowPatent&amp;spn=CN102609723&amp;sx=showpatent_cn&amp;sv=1ac52f5824eaee7a0d0def949bf0fcd0","CN102609723")</f>
        <v>CN102609723</v>
      </c>
      <c r="B1076" s="7" t="s">
        <v>5448</v>
      </c>
      <c r="C1076" s="7" t="s">
        <v>5449</v>
      </c>
      <c r="D1076" s="7" t="s">
        <v>1383</v>
      </c>
      <c r="E1076" s="7" t="s">
        <v>1383</v>
      </c>
      <c r="F1076" s="7" t="s">
        <v>5450</v>
      </c>
      <c r="G1076" s="7" t="s">
        <v>1730</v>
      </c>
      <c r="H1076" s="7" t="s">
        <v>5451</v>
      </c>
      <c r="I1076" s="7" t="s">
        <v>5451</v>
      </c>
      <c r="J1076" s="7" t="s">
        <v>2147</v>
      </c>
      <c r="K1076" s="7" t="s">
        <v>529</v>
      </c>
      <c r="L1076" s="7" t="s">
        <v>1424</v>
      </c>
      <c r="M1076" s="7">
        <v>20</v>
      </c>
      <c r="N1076" s="7">
        <v>26</v>
      </c>
      <c r="O1076" s="7" t="s">
        <v>42</v>
      </c>
      <c r="P1076" s="7" t="s">
        <v>43</v>
      </c>
      <c r="Q1076" s="7">
        <v>3</v>
      </c>
      <c r="R1076" s="7">
        <v>1</v>
      </c>
      <c r="S1076" s="7">
        <v>2</v>
      </c>
      <c r="T1076" s="7">
        <v>3</v>
      </c>
      <c r="U1076" s="7">
        <v>2</v>
      </c>
      <c r="V1076" s="7" t="s">
        <v>1103</v>
      </c>
      <c r="W1076" s="7">
        <v>0</v>
      </c>
      <c r="X1076" s="7">
        <v>2</v>
      </c>
      <c r="Y1076" s="7">
        <v>2</v>
      </c>
      <c r="Z1076" s="7">
        <v>2</v>
      </c>
      <c r="AA1076" s="7">
        <v>1</v>
      </c>
      <c r="AB1076" s="7">
        <v>1</v>
      </c>
      <c r="AC1076" s="7" t="s">
        <v>0</v>
      </c>
      <c r="AD1076" s="7">
        <v>1</v>
      </c>
      <c r="AE1076" s="7" t="s">
        <v>60</v>
      </c>
    </row>
    <row r="1077" spans="1:31" ht="76.5" x14ac:dyDescent="0.2">
      <c r="A1077" s="8" t="str">
        <f>HYPERLINK("http://www.patentics.cn/invokexml.do?sx=showpatent_cn&amp;sf=ShowPatent&amp;spn=WO2016095081&amp;sx=showpatent_cn&amp;sv=e7990688783dca8736769fc9372b8c95","WO2016095081")</f>
        <v>WO2016095081</v>
      </c>
      <c r="B1077" s="9" t="s">
        <v>5452</v>
      </c>
      <c r="C1077" s="9" t="s">
        <v>5453</v>
      </c>
      <c r="D1077" s="9" t="s">
        <v>117</v>
      </c>
      <c r="E1077" s="9" t="s">
        <v>49</v>
      </c>
      <c r="F1077" s="9" t="s">
        <v>5454</v>
      </c>
      <c r="G1077" s="9" t="s">
        <v>5455</v>
      </c>
      <c r="H1077" s="9" t="s">
        <v>0</v>
      </c>
      <c r="I1077" s="9" t="s">
        <v>797</v>
      </c>
      <c r="J1077" s="9" t="s">
        <v>3140</v>
      </c>
      <c r="K1077" s="9" t="s">
        <v>2163</v>
      </c>
      <c r="L1077" s="9" t="s">
        <v>3162</v>
      </c>
      <c r="M1077" s="9">
        <v>30</v>
      </c>
      <c r="N1077" s="9">
        <v>0</v>
      </c>
      <c r="O1077" s="9" t="s">
        <v>850</v>
      </c>
      <c r="P1077" s="9" t="s">
        <v>1932</v>
      </c>
      <c r="Q1077" s="9">
        <v>5</v>
      </c>
      <c r="R1077" s="9">
        <v>0</v>
      </c>
      <c r="S1077" s="9">
        <v>5</v>
      </c>
      <c r="T1077" s="9">
        <v>5</v>
      </c>
      <c r="U1077" s="9">
        <v>0</v>
      </c>
      <c r="V1077" s="9" t="s">
        <v>114</v>
      </c>
      <c r="W1077" s="9">
        <v>0</v>
      </c>
      <c r="X1077" s="9">
        <v>0</v>
      </c>
      <c r="Y1077" s="9">
        <v>0</v>
      </c>
      <c r="Z1077" s="9">
        <v>0</v>
      </c>
      <c r="AA1077" s="9">
        <v>0</v>
      </c>
      <c r="AB1077" s="9">
        <v>0</v>
      </c>
      <c r="AC1077" s="9">
        <v>14</v>
      </c>
      <c r="AD1077" s="9" t="s">
        <v>0</v>
      </c>
      <c r="AE1077" s="9" t="s">
        <v>0</v>
      </c>
    </row>
    <row r="1078" spans="1:31" ht="38.25" x14ac:dyDescent="0.2">
      <c r="A1078" s="6" t="str">
        <f>HYPERLINK("http://www.patentics.cn/invokexml.do?sx=showpatent_cn&amp;sf=ShowPatent&amp;spn=CN102592268&amp;sx=showpatent_cn&amp;sv=0f85d679cc655eda59bfef8e8093eee5","CN102592268")</f>
        <v>CN102592268</v>
      </c>
      <c r="B1078" s="7" t="s">
        <v>5456</v>
      </c>
      <c r="C1078" s="7" t="s">
        <v>5457</v>
      </c>
      <c r="D1078" s="7" t="s">
        <v>5458</v>
      </c>
      <c r="E1078" s="7" t="s">
        <v>1383</v>
      </c>
      <c r="F1078" s="7" t="s">
        <v>5459</v>
      </c>
      <c r="G1078" s="7" t="s">
        <v>5460</v>
      </c>
      <c r="H1078" s="7" t="s">
        <v>5461</v>
      </c>
      <c r="I1078" s="7" t="s">
        <v>5461</v>
      </c>
      <c r="J1078" s="7" t="s">
        <v>3250</v>
      </c>
      <c r="K1078" s="7" t="s">
        <v>2163</v>
      </c>
      <c r="L1078" s="7" t="s">
        <v>3239</v>
      </c>
      <c r="M1078" s="7">
        <v>4</v>
      </c>
      <c r="N1078" s="7">
        <v>16</v>
      </c>
      <c r="O1078" s="7" t="s">
        <v>42</v>
      </c>
      <c r="P1078" s="7" t="s">
        <v>43</v>
      </c>
      <c r="Q1078" s="7">
        <v>1</v>
      </c>
      <c r="R1078" s="7">
        <v>1</v>
      </c>
      <c r="S1078" s="7">
        <v>0</v>
      </c>
      <c r="T1078" s="7">
        <v>1</v>
      </c>
      <c r="U1078" s="7">
        <v>8</v>
      </c>
      <c r="V1078" s="7" t="s">
        <v>5462</v>
      </c>
      <c r="W1078" s="7">
        <v>3</v>
      </c>
      <c r="X1078" s="7">
        <v>5</v>
      </c>
      <c r="Y1078" s="7">
        <v>5</v>
      </c>
      <c r="Z1078" s="7">
        <v>2</v>
      </c>
      <c r="AA1078" s="7">
        <v>1</v>
      </c>
      <c r="AB1078" s="7">
        <v>1</v>
      </c>
      <c r="AC1078" s="7" t="s">
        <v>0</v>
      </c>
      <c r="AD1078" s="7">
        <v>1</v>
      </c>
      <c r="AE1078" s="7" t="s">
        <v>60</v>
      </c>
    </row>
    <row r="1079" spans="1:31" ht="38.25" x14ac:dyDescent="0.2">
      <c r="A1079" s="8" t="str">
        <f>HYPERLINK("http://www.patentics.cn/invokexml.do?sx=showpatent_cn&amp;sf=ShowPatent&amp;spn=WO2015123792&amp;sx=showpatent_cn&amp;sv=1f1db78e4a558a8aa204b467399e393d","WO2015123792")</f>
        <v>WO2015123792</v>
      </c>
      <c r="B1079" s="9" t="s">
        <v>5463</v>
      </c>
      <c r="C1079" s="9" t="s">
        <v>5464</v>
      </c>
      <c r="D1079" s="9" t="s">
        <v>117</v>
      </c>
      <c r="E1079" s="9" t="s">
        <v>49</v>
      </c>
      <c r="F1079" s="9" t="s">
        <v>5465</v>
      </c>
      <c r="G1079" s="9" t="s">
        <v>5466</v>
      </c>
      <c r="H1079" s="9" t="s">
        <v>2111</v>
      </c>
      <c r="I1079" s="9" t="s">
        <v>1794</v>
      </c>
      <c r="J1079" s="9" t="s">
        <v>5467</v>
      </c>
      <c r="K1079" s="9" t="s">
        <v>885</v>
      </c>
      <c r="L1079" s="9" t="s">
        <v>5468</v>
      </c>
      <c r="M1079" s="9">
        <v>108</v>
      </c>
      <c r="N1079" s="9">
        <v>7</v>
      </c>
      <c r="O1079" s="9" t="s">
        <v>850</v>
      </c>
      <c r="P1079" s="9" t="s">
        <v>58</v>
      </c>
      <c r="Q1079" s="9">
        <v>6</v>
      </c>
      <c r="R1079" s="9">
        <v>0</v>
      </c>
      <c r="S1079" s="9">
        <v>6</v>
      </c>
      <c r="T1079" s="9">
        <v>5</v>
      </c>
      <c r="U1079" s="9">
        <v>0</v>
      </c>
      <c r="V1079" s="9" t="s">
        <v>114</v>
      </c>
      <c r="W1079" s="9">
        <v>0</v>
      </c>
      <c r="X1079" s="9">
        <v>0</v>
      </c>
      <c r="Y1079" s="9">
        <v>0</v>
      </c>
      <c r="Z1079" s="9">
        <v>0</v>
      </c>
      <c r="AA1079" s="9">
        <v>4</v>
      </c>
      <c r="AB1079" s="9">
        <v>5</v>
      </c>
      <c r="AC1079" s="9">
        <v>14</v>
      </c>
      <c r="AD1079" s="9" t="s">
        <v>0</v>
      </c>
      <c r="AE1079" s="9" t="s">
        <v>0</v>
      </c>
    </row>
    <row r="1080" spans="1:31" ht="25.5" x14ac:dyDescent="0.2">
      <c r="A1080" s="6" t="str">
        <f>HYPERLINK("http://www.patentics.cn/invokexml.do?sx=showpatent_cn&amp;sf=ShowPatent&amp;spn=CN102545855&amp;sx=showpatent_cn&amp;sv=edf610f2e773098f4375b34f56cad580","CN102545855")</f>
        <v>CN102545855</v>
      </c>
      <c r="B1080" s="7" t="s">
        <v>5469</v>
      </c>
      <c r="C1080" s="7" t="s">
        <v>5470</v>
      </c>
      <c r="D1080" s="7" t="s">
        <v>3572</v>
      </c>
      <c r="E1080" s="7" t="s">
        <v>3572</v>
      </c>
      <c r="F1080" s="7" t="s">
        <v>5471</v>
      </c>
      <c r="G1080" s="7" t="s">
        <v>5472</v>
      </c>
      <c r="H1080" s="7" t="s">
        <v>0</v>
      </c>
      <c r="I1080" s="7" t="s">
        <v>2192</v>
      </c>
      <c r="J1080" s="7" t="s">
        <v>1908</v>
      </c>
      <c r="K1080" s="7" t="s">
        <v>368</v>
      </c>
      <c r="L1080" s="7" t="s">
        <v>5473</v>
      </c>
      <c r="M1080" s="7">
        <v>4</v>
      </c>
      <c r="N1080" s="7">
        <v>22</v>
      </c>
      <c r="O1080" s="7" t="s">
        <v>42</v>
      </c>
      <c r="P1080" s="7" t="s">
        <v>43</v>
      </c>
      <c r="Q1080" s="7">
        <v>1</v>
      </c>
      <c r="R1080" s="7">
        <v>1</v>
      </c>
      <c r="S1080" s="7">
        <v>0</v>
      </c>
      <c r="T1080" s="7">
        <v>1</v>
      </c>
      <c r="U1080" s="7">
        <v>3</v>
      </c>
      <c r="V1080" s="7" t="s">
        <v>5053</v>
      </c>
      <c r="W1080" s="7">
        <v>2</v>
      </c>
      <c r="X1080" s="7">
        <v>1</v>
      </c>
      <c r="Y1080" s="7">
        <v>2</v>
      </c>
      <c r="Z1080" s="7">
        <v>2</v>
      </c>
      <c r="AA1080" s="7">
        <v>0</v>
      </c>
      <c r="AB1080" s="7">
        <v>0</v>
      </c>
      <c r="AC1080" s="7" t="s">
        <v>0</v>
      </c>
      <c r="AD1080" s="7">
        <v>1</v>
      </c>
      <c r="AE1080" s="7" t="s">
        <v>60</v>
      </c>
    </row>
    <row r="1081" spans="1:31" ht="76.5" x14ac:dyDescent="0.2">
      <c r="A1081" s="8" t="str">
        <f>HYPERLINK("http://www.patentics.cn/invokexml.do?sx=showpatent_cn&amp;sf=ShowPatent&amp;spn=WO2014089751&amp;sx=showpatent_cn&amp;sv=b0cda7d31e1a5e689c8d1d9bd1908a9a","WO2014089751")</f>
        <v>WO2014089751</v>
      </c>
      <c r="B1081" s="9" t="s">
        <v>5474</v>
      </c>
      <c r="C1081" s="9" t="s">
        <v>5475</v>
      </c>
      <c r="D1081" s="9" t="s">
        <v>117</v>
      </c>
      <c r="E1081" s="9" t="s">
        <v>49</v>
      </c>
      <c r="F1081" s="9" t="s">
        <v>5476</v>
      </c>
      <c r="G1081" s="9" t="s">
        <v>3261</v>
      </c>
      <c r="H1081" s="9" t="s">
        <v>5477</v>
      </c>
      <c r="I1081" s="9" t="s">
        <v>5477</v>
      </c>
      <c r="J1081" s="9" t="s">
        <v>3666</v>
      </c>
      <c r="K1081" s="9" t="s">
        <v>5478</v>
      </c>
      <c r="L1081" s="9" t="s">
        <v>5479</v>
      </c>
      <c r="M1081" s="9">
        <v>19</v>
      </c>
      <c r="N1081" s="9">
        <v>12</v>
      </c>
      <c r="O1081" s="9" t="s">
        <v>850</v>
      </c>
      <c r="P1081" s="9" t="s">
        <v>43</v>
      </c>
      <c r="Q1081" s="9">
        <v>2</v>
      </c>
      <c r="R1081" s="9">
        <v>0</v>
      </c>
      <c r="S1081" s="9">
        <v>2</v>
      </c>
      <c r="T1081" s="9">
        <v>2</v>
      </c>
      <c r="U1081" s="9">
        <v>0</v>
      </c>
      <c r="V1081" s="9" t="s">
        <v>114</v>
      </c>
      <c r="W1081" s="9">
        <v>0</v>
      </c>
      <c r="X1081" s="9">
        <v>0</v>
      </c>
      <c r="Y1081" s="9">
        <v>0</v>
      </c>
      <c r="Z1081" s="9">
        <v>0</v>
      </c>
      <c r="AA1081" s="9">
        <v>1</v>
      </c>
      <c r="AB1081" s="9">
        <v>2</v>
      </c>
      <c r="AC1081" s="9">
        <v>14</v>
      </c>
      <c r="AD1081" s="9" t="s">
        <v>0</v>
      </c>
      <c r="AE1081" s="9" t="s">
        <v>0</v>
      </c>
    </row>
    <row r="1082" spans="1:31" ht="38.25" x14ac:dyDescent="0.2">
      <c r="A1082" s="6" t="str">
        <f>HYPERLINK("http://www.patentics.cn/invokexml.do?sx=showpatent_cn&amp;sf=ShowPatent&amp;spn=CN102538781&amp;sx=showpatent_cn&amp;sv=cda67b8f3334db220486cf31212f6f42","CN102538781")</f>
        <v>CN102538781</v>
      </c>
      <c r="B1082" s="7" t="s">
        <v>5480</v>
      </c>
      <c r="C1082" s="7" t="s">
        <v>5481</v>
      </c>
      <c r="D1082" s="7" t="s">
        <v>923</v>
      </c>
      <c r="E1082" s="7" t="s">
        <v>923</v>
      </c>
      <c r="F1082" s="7" t="s">
        <v>5482</v>
      </c>
      <c r="G1082" s="7" t="s">
        <v>5483</v>
      </c>
      <c r="H1082" s="7" t="s">
        <v>3378</v>
      </c>
      <c r="I1082" s="7" t="s">
        <v>3378</v>
      </c>
      <c r="J1082" s="7" t="s">
        <v>1908</v>
      </c>
      <c r="K1082" s="7" t="s">
        <v>937</v>
      </c>
      <c r="L1082" s="7" t="s">
        <v>938</v>
      </c>
      <c r="M1082" s="7">
        <v>7</v>
      </c>
      <c r="N1082" s="7">
        <v>27</v>
      </c>
      <c r="O1082" s="7" t="s">
        <v>42</v>
      </c>
      <c r="P1082" s="7" t="s">
        <v>43</v>
      </c>
      <c r="Q1082" s="7">
        <v>2</v>
      </c>
      <c r="R1082" s="7">
        <v>0</v>
      </c>
      <c r="S1082" s="7">
        <v>2</v>
      </c>
      <c r="T1082" s="7">
        <v>2</v>
      </c>
      <c r="U1082" s="7">
        <v>13</v>
      </c>
      <c r="V1082" s="7" t="s">
        <v>5484</v>
      </c>
      <c r="W1082" s="7">
        <v>3</v>
      </c>
      <c r="X1082" s="7">
        <v>10</v>
      </c>
      <c r="Y1082" s="7">
        <v>9</v>
      </c>
      <c r="Z1082" s="7">
        <v>2</v>
      </c>
      <c r="AA1082" s="7">
        <v>1</v>
      </c>
      <c r="AB1082" s="7">
        <v>1</v>
      </c>
      <c r="AC1082" s="7" t="s">
        <v>0</v>
      </c>
      <c r="AD1082" s="7">
        <v>1</v>
      </c>
      <c r="AE1082" s="7" t="s">
        <v>60</v>
      </c>
    </row>
    <row r="1083" spans="1:31" ht="76.5" x14ac:dyDescent="0.2">
      <c r="A1083" s="8" t="str">
        <f>HYPERLINK("http://www.patentics.cn/invokexml.do?sx=showpatent_cn&amp;sf=ShowPatent&amp;spn=CN104718431B&amp;sx=showpatent_cn&amp;sv=62974865639843850267353f4f0f8592","CN104718431B")</f>
        <v>CN104718431B</v>
      </c>
      <c r="B1083" s="9" t="s">
        <v>5485</v>
      </c>
      <c r="C1083" s="9" t="s">
        <v>5486</v>
      </c>
      <c r="D1083" s="9" t="s">
        <v>301</v>
      </c>
      <c r="E1083" s="9" t="s">
        <v>301</v>
      </c>
      <c r="F1083" s="9" t="s">
        <v>5487</v>
      </c>
      <c r="G1083" s="9" t="s">
        <v>5488</v>
      </c>
      <c r="H1083" s="9" t="s">
        <v>5489</v>
      </c>
      <c r="I1083" s="9" t="s">
        <v>1109</v>
      </c>
      <c r="J1083" s="9" t="s">
        <v>5490</v>
      </c>
      <c r="K1083" s="9" t="s">
        <v>937</v>
      </c>
      <c r="L1083" s="9" t="s">
        <v>5491</v>
      </c>
      <c r="M1083" s="9">
        <v>30</v>
      </c>
      <c r="N1083" s="9">
        <v>15</v>
      </c>
      <c r="O1083" s="9" t="s">
        <v>57</v>
      </c>
      <c r="P1083" s="9" t="s">
        <v>58</v>
      </c>
      <c r="Q1083" s="9">
        <v>3</v>
      </c>
      <c r="R1083" s="9">
        <v>0</v>
      </c>
      <c r="S1083" s="9">
        <v>3</v>
      </c>
      <c r="T1083" s="9">
        <v>3</v>
      </c>
      <c r="U1083" s="9">
        <v>0</v>
      </c>
      <c r="V1083" s="9" t="s">
        <v>114</v>
      </c>
      <c r="W1083" s="9">
        <v>0</v>
      </c>
      <c r="X1083" s="9">
        <v>0</v>
      </c>
      <c r="Y1083" s="9">
        <v>0</v>
      </c>
      <c r="Z1083" s="9">
        <v>0</v>
      </c>
      <c r="AA1083" s="9">
        <v>9</v>
      </c>
      <c r="AB1083" s="9">
        <v>6</v>
      </c>
      <c r="AC1083" s="9">
        <v>14</v>
      </c>
      <c r="AD1083" s="9" t="s">
        <v>0</v>
      </c>
      <c r="AE1083" s="9" t="s">
        <v>60</v>
      </c>
    </row>
    <row r="1084" spans="1:31" ht="38.25" x14ac:dyDescent="0.2">
      <c r="A1084" s="6" t="str">
        <f>HYPERLINK("http://www.patentics.cn/invokexml.do?sx=showpatent_cn&amp;sf=ShowPatent&amp;spn=CN102447907&amp;sx=showpatent_cn&amp;sv=94c6ef23b7376a38221395a84065bbbd","CN102447907")</f>
        <v>CN102447907</v>
      </c>
      <c r="B1084" s="7" t="s">
        <v>5492</v>
      </c>
      <c r="C1084" s="7" t="s">
        <v>5493</v>
      </c>
      <c r="D1084" s="7" t="s">
        <v>2653</v>
      </c>
      <c r="E1084" s="7" t="s">
        <v>2653</v>
      </c>
      <c r="F1084" s="7" t="s">
        <v>5494</v>
      </c>
      <c r="G1084" s="7" t="s">
        <v>5495</v>
      </c>
      <c r="H1084" s="7" t="s">
        <v>0</v>
      </c>
      <c r="I1084" s="7" t="s">
        <v>3402</v>
      </c>
      <c r="J1084" s="7" t="s">
        <v>2650</v>
      </c>
      <c r="K1084" s="7" t="s">
        <v>714</v>
      </c>
      <c r="L1084" s="7" t="s">
        <v>1346</v>
      </c>
      <c r="M1084" s="7">
        <v>2</v>
      </c>
      <c r="N1084" s="7">
        <v>29</v>
      </c>
      <c r="O1084" s="7" t="s">
        <v>42</v>
      </c>
      <c r="P1084" s="7" t="s">
        <v>43</v>
      </c>
      <c r="Q1084" s="7">
        <v>0</v>
      </c>
      <c r="R1084" s="7">
        <v>0</v>
      </c>
      <c r="S1084" s="7">
        <v>0</v>
      </c>
      <c r="T1084" s="7">
        <v>0</v>
      </c>
      <c r="U1084" s="7">
        <v>17</v>
      </c>
      <c r="V1084" s="7" t="s">
        <v>5496</v>
      </c>
      <c r="W1084" s="7">
        <v>2</v>
      </c>
      <c r="X1084" s="7">
        <v>15</v>
      </c>
      <c r="Y1084" s="7">
        <v>9</v>
      </c>
      <c r="Z1084" s="7">
        <v>3</v>
      </c>
      <c r="AA1084" s="7">
        <v>0</v>
      </c>
      <c r="AB1084" s="7">
        <v>0</v>
      </c>
      <c r="AC1084" s="7" t="s">
        <v>0</v>
      </c>
      <c r="AD1084" s="7">
        <v>1</v>
      </c>
      <c r="AE1084" s="7" t="s">
        <v>45</v>
      </c>
    </row>
    <row r="1085" spans="1:31" ht="51" x14ac:dyDescent="0.2">
      <c r="A1085" s="8" t="str">
        <f>HYPERLINK("http://www.patentics.cn/invokexml.do?sx=showpatent_cn&amp;sf=ShowPatent&amp;spn=WO2015100514&amp;sx=showpatent_cn&amp;sv=46b79c38428eb27608b06b2949a140bf","WO2015100514")</f>
        <v>WO2015100514</v>
      </c>
      <c r="B1085" s="9" t="s">
        <v>4966</v>
      </c>
      <c r="C1085" s="9" t="s">
        <v>4967</v>
      </c>
      <c r="D1085" s="9" t="s">
        <v>117</v>
      </c>
      <c r="E1085" s="9" t="s">
        <v>49</v>
      </c>
      <c r="F1085" s="9" t="s">
        <v>4968</v>
      </c>
      <c r="G1085" s="9" t="s">
        <v>3445</v>
      </c>
      <c r="H1085" s="9" t="s">
        <v>2206</v>
      </c>
      <c r="I1085" s="9" t="s">
        <v>2206</v>
      </c>
      <c r="J1085" s="9" t="s">
        <v>4969</v>
      </c>
      <c r="K1085" s="9" t="s">
        <v>714</v>
      </c>
      <c r="L1085" s="9" t="s">
        <v>4970</v>
      </c>
      <c r="M1085" s="9">
        <v>63</v>
      </c>
      <c r="N1085" s="9">
        <v>20</v>
      </c>
      <c r="O1085" s="9" t="s">
        <v>850</v>
      </c>
      <c r="P1085" s="9" t="s">
        <v>43</v>
      </c>
      <c r="Q1085" s="9">
        <v>3</v>
      </c>
      <c r="R1085" s="9">
        <v>0</v>
      </c>
      <c r="S1085" s="9">
        <v>3</v>
      </c>
      <c r="T1085" s="9">
        <v>3</v>
      </c>
      <c r="U1085" s="9">
        <v>0</v>
      </c>
      <c r="V1085" s="9" t="s">
        <v>114</v>
      </c>
      <c r="W1085" s="9">
        <v>0</v>
      </c>
      <c r="X1085" s="9">
        <v>0</v>
      </c>
      <c r="Y1085" s="9">
        <v>0</v>
      </c>
      <c r="Z1085" s="9">
        <v>0</v>
      </c>
      <c r="AA1085" s="9">
        <v>4</v>
      </c>
      <c r="AB1085" s="9">
        <v>5</v>
      </c>
      <c r="AC1085" s="9">
        <v>14</v>
      </c>
      <c r="AD1085" s="9" t="s">
        <v>0</v>
      </c>
      <c r="AE1085" s="9" t="s">
        <v>0</v>
      </c>
    </row>
    <row r="1086" spans="1:31" ht="63.75" x14ac:dyDescent="0.2">
      <c r="A1086" s="6" t="str">
        <f>HYPERLINK("http://www.patentics.cn/invokexml.do?sx=showpatent_cn&amp;sf=ShowPatent&amp;spn=CN102448123&amp;sx=showpatent_cn&amp;sv=2b9b17dda49c9877327450bd2c8d5c83","CN102448123")</f>
        <v>CN102448123</v>
      </c>
      <c r="B1086" s="7" t="s">
        <v>5497</v>
      </c>
      <c r="C1086" s="7" t="s">
        <v>5498</v>
      </c>
      <c r="D1086" s="7" t="s">
        <v>5499</v>
      </c>
      <c r="E1086" s="7" t="s">
        <v>5500</v>
      </c>
      <c r="F1086" s="7" t="s">
        <v>5501</v>
      </c>
      <c r="G1086" s="7" t="s">
        <v>5502</v>
      </c>
      <c r="H1086" s="7" t="s">
        <v>5503</v>
      </c>
      <c r="I1086" s="7" t="s">
        <v>5503</v>
      </c>
      <c r="J1086" s="7" t="s">
        <v>2650</v>
      </c>
      <c r="K1086" s="7" t="s">
        <v>55</v>
      </c>
      <c r="L1086" s="7" t="s">
        <v>1970</v>
      </c>
      <c r="M1086" s="7">
        <v>5</v>
      </c>
      <c r="N1086" s="7">
        <v>30</v>
      </c>
      <c r="O1086" s="7" t="s">
        <v>42</v>
      </c>
      <c r="P1086" s="7" t="s">
        <v>43</v>
      </c>
      <c r="Q1086" s="7">
        <v>5</v>
      </c>
      <c r="R1086" s="7">
        <v>0</v>
      </c>
      <c r="S1086" s="7">
        <v>5</v>
      </c>
      <c r="T1086" s="7">
        <v>4</v>
      </c>
      <c r="U1086" s="7">
        <v>4</v>
      </c>
      <c r="V1086" s="7" t="s">
        <v>5504</v>
      </c>
      <c r="W1086" s="7">
        <v>0</v>
      </c>
      <c r="X1086" s="7">
        <v>4</v>
      </c>
      <c r="Y1086" s="7">
        <v>3</v>
      </c>
      <c r="Z1086" s="7">
        <v>2</v>
      </c>
      <c r="AA1086" s="7">
        <v>1</v>
      </c>
      <c r="AB1086" s="7">
        <v>1</v>
      </c>
      <c r="AC1086" s="7" t="s">
        <v>0</v>
      </c>
      <c r="AD1086" s="7">
        <v>1</v>
      </c>
      <c r="AE1086" s="7" t="s">
        <v>60</v>
      </c>
    </row>
    <row r="1087" spans="1:31" ht="63.75" x14ac:dyDescent="0.2">
      <c r="A1087" s="8" t="str">
        <f>HYPERLINK("http://www.patentics.cn/invokexml.do?sx=showpatent_cn&amp;sf=ShowPatent&amp;spn=US9594411&amp;sx=showpatent_cn&amp;sv=b76f346b3dd83dcbff735160a6893b72","US9594411")</f>
        <v>US9594411</v>
      </c>
      <c r="B1087" s="9" t="s">
        <v>5505</v>
      </c>
      <c r="C1087" s="9" t="s">
        <v>5506</v>
      </c>
      <c r="D1087" s="9" t="s">
        <v>48</v>
      </c>
      <c r="E1087" s="9" t="s">
        <v>49</v>
      </c>
      <c r="F1087" s="9" t="s">
        <v>5507</v>
      </c>
      <c r="G1087" s="9" t="s">
        <v>5508</v>
      </c>
      <c r="H1087" s="9" t="s">
        <v>5509</v>
      </c>
      <c r="I1087" s="9" t="s">
        <v>5509</v>
      </c>
      <c r="J1087" s="9" t="s">
        <v>5510</v>
      </c>
      <c r="K1087" s="9" t="s">
        <v>885</v>
      </c>
      <c r="L1087" s="9" t="s">
        <v>1073</v>
      </c>
      <c r="M1087" s="9">
        <v>39</v>
      </c>
      <c r="N1087" s="9">
        <v>24</v>
      </c>
      <c r="O1087" s="9" t="s">
        <v>57</v>
      </c>
      <c r="P1087" s="9" t="s">
        <v>58</v>
      </c>
      <c r="Q1087" s="9">
        <v>30</v>
      </c>
      <c r="R1087" s="9">
        <v>0</v>
      </c>
      <c r="S1087" s="9">
        <v>30</v>
      </c>
      <c r="T1087" s="9">
        <v>14</v>
      </c>
      <c r="U1087" s="9">
        <v>0</v>
      </c>
      <c r="V1087" s="9" t="s">
        <v>114</v>
      </c>
      <c r="W1087" s="9">
        <v>0</v>
      </c>
      <c r="X1087" s="9">
        <v>0</v>
      </c>
      <c r="Y1087" s="9">
        <v>0</v>
      </c>
      <c r="Z1087" s="9">
        <v>0</v>
      </c>
      <c r="AA1087" s="9">
        <v>6</v>
      </c>
      <c r="AB1087" s="9">
        <v>6</v>
      </c>
      <c r="AC1087" s="9">
        <v>14</v>
      </c>
      <c r="AD1087" s="9" t="s">
        <v>0</v>
      </c>
      <c r="AE1087" s="9" t="s">
        <v>60</v>
      </c>
    </row>
    <row r="1088" spans="1:31" ht="38.25" x14ac:dyDescent="0.2">
      <c r="A1088" s="6" t="str">
        <f>HYPERLINK("http://www.patentics.cn/invokexml.do?sx=showpatent_cn&amp;sf=ShowPatent&amp;spn=CN102413080&amp;sx=showpatent_cn&amp;sv=b8058d20ad91919ed56b758011d0a4b5","CN102413080")</f>
        <v>CN102413080</v>
      </c>
      <c r="B1088" s="7" t="s">
        <v>5511</v>
      </c>
      <c r="C1088" s="7" t="s">
        <v>5512</v>
      </c>
      <c r="D1088" s="7" t="s">
        <v>1420</v>
      </c>
      <c r="E1088" s="7" t="s">
        <v>1420</v>
      </c>
      <c r="F1088" s="7" t="s">
        <v>5513</v>
      </c>
      <c r="G1088" s="7" t="s">
        <v>5514</v>
      </c>
      <c r="H1088" s="7" t="s">
        <v>5515</v>
      </c>
      <c r="I1088" s="7" t="s">
        <v>5515</v>
      </c>
      <c r="J1088" s="7" t="s">
        <v>2874</v>
      </c>
      <c r="K1088" s="7" t="s">
        <v>68</v>
      </c>
      <c r="L1088" s="7" t="s">
        <v>428</v>
      </c>
      <c r="M1088" s="7">
        <v>8</v>
      </c>
      <c r="N1088" s="7">
        <v>80</v>
      </c>
      <c r="O1088" s="7" t="s">
        <v>42</v>
      </c>
      <c r="P1088" s="7" t="s">
        <v>43</v>
      </c>
      <c r="Q1088" s="7">
        <v>4</v>
      </c>
      <c r="R1088" s="7">
        <v>0</v>
      </c>
      <c r="S1088" s="7">
        <v>4</v>
      </c>
      <c r="T1088" s="7">
        <v>4</v>
      </c>
      <c r="U1088" s="7">
        <v>5</v>
      </c>
      <c r="V1088" s="7" t="s">
        <v>5516</v>
      </c>
      <c r="W1088" s="7">
        <v>0</v>
      </c>
      <c r="X1088" s="7">
        <v>5</v>
      </c>
      <c r="Y1088" s="7">
        <v>4</v>
      </c>
      <c r="Z1088" s="7">
        <v>2</v>
      </c>
      <c r="AA1088" s="7">
        <v>1</v>
      </c>
      <c r="AB1088" s="7">
        <v>1</v>
      </c>
      <c r="AC1088" s="7" t="s">
        <v>0</v>
      </c>
      <c r="AD1088" s="7">
        <v>1</v>
      </c>
      <c r="AE1088" s="7" t="s">
        <v>60</v>
      </c>
    </row>
    <row r="1089" spans="1:31" ht="89.25" x14ac:dyDescent="0.2">
      <c r="A1089" s="8" t="str">
        <f>HYPERLINK("http://www.patentics.cn/invokexml.do?sx=showpatent_cn&amp;sf=ShowPatent&amp;spn=WO2014161148&amp;sx=showpatent_cn&amp;sv=da95b74edf8e2ac5b40ff2a39e72abf0","WO2014161148")</f>
        <v>WO2014161148</v>
      </c>
      <c r="B1089" s="9" t="s">
        <v>5517</v>
      </c>
      <c r="C1089" s="9" t="s">
        <v>5518</v>
      </c>
      <c r="D1089" s="9" t="s">
        <v>117</v>
      </c>
      <c r="E1089" s="9" t="s">
        <v>49</v>
      </c>
      <c r="F1089" s="9" t="s">
        <v>5519</v>
      </c>
      <c r="G1089" s="9" t="s">
        <v>5520</v>
      </c>
      <c r="H1089" s="9" t="s">
        <v>2736</v>
      </c>
      <c r="I1089" s="9" t="s">
        <v>2736</v>
      </c>
      <c r="J1089" s="9" t="s">
        <v>5521</v>
      </c>
      <c r="K1089" s="9" t="s">
        <v>68</v>
      </c>
      <c r="L1089" s="9" t="s">
        <v>428</v>
      </c>
      <c r="M1089" s="9">
        <v>37</v>
      </c>
      <c r="N1089" s="9">
        <v>11</v>
      </c>
      <c r="O1089" s="9" t="s">
        <v>850</v>
      </c>
      <c r="P1089" s="9" t="s">
        <v>43</v>
      </c>
      <c r="Q1089" s="9">
        <v>4</v>
      </c>
      <c r="R1089" s="9">
        <v>0</v>
      </c>
      <c r="S1089" s="9">
        <v>4</v>
      </c>
      <c r="T1089" s="9">
        <v>4</v>
      </c>
      <c r="U1089" s="9">
        <v>0</v>
      </c>
      <c r="V1089" s="9" t="s">
        <v>114</v>
      </c>
      <c r="W1089" s="9">
        <v>0</v>
      </c>
      <c r="X1089" s="9">
        <v>0</v>
      </c>
      <c r="Y1089" s="9">
        <v>0</v>
      </c>
      <c r="Z1089" s="9">
        <v>0</v>
      </c>
      <c r="AA1089" s="9">
        <v>1</v>
      </c>
      <c r="AB1089" s="9">
        <v>2</v>
      </c>
      <c r="AC1089" s="9">
        <v>14</v>
      </c>
      <c r="AD1089" s="9" t="s">
        <v>0</v>
      </c>
      <c r="AE1089" s="9" t="s">
        <v>0</v>
      </c>
    </row>
    <row r="1090" spans="1:31" ht="38.25" x14ac:dyDescent="0.2">
      <c r="A1090" s="6" t="str">
        <f>HYPERLINK("http://www.patentics.cn/invokexml.do?sx=showpatent_cn&amp;sf=ShowPatent&amp;spn=CN102395140&amp;sx=showpatent_cn&amp;sv=604c6dd0f0be62868c07c0baeb3ec5e3","CN102395140")</f>
        <v>CN102395140</v>
      </c>
      <c r="B1090" s="7" t="s">
        <v>5522</v>
      </c>
      <c r="C1090" s="7" t="s">
        <v>5523</v>
      </c>
      <c r="D1090" s="7" t="s">
        <v>3285</v>
      </c>
      <c r="E1090" s="7" t="s">
        <v>3285</v>
      </c>
      <c r="F1090" s="7" t="s">
        <v>5524</v>
      </c>
      <c r="G1090" s="7" t="s">
        <v>5525</v>
      </c>
      <c r="H1090" s="7" t="s">
        <v>3333</v>
      </c>
      <c r="I1090" s="7" t="s">
        <v>3333</v>
      </c>
      <c r="J1090" s="7" t="s">
        <v>3334</v>
      </c>
      <c r="K1090" s="7" t="s">
        <v>55</v>
      </c>
      <c r="L1090" s="7" t="s">
        <v>947</v>
      </c>
      <c r="M1090" s="7">
        <v>2</v>
      </c>
      <c r="N1090" s="7">
        <v>54</v>
      </c>
      <c r="O1090" s="7" t="s">
        <v>42</v>
      </c>
      <c r="P1090" s="7" t="s">
        <v>43</v>
      </c>
      <c r="Q1090" s="7">
        <v>3</v>
      </c>
      <c r="R1090" s="7">
        <v>0</v>
      </c>
      <c r="S1090" s="7">
        <v>3</v>
      </c>
      <c r="T1090" s="7">
        <v>3</v>
      </c>
      <c r="U1090" s="7">
        <v>3</v>
      </c>
      <c r="V1090" s="7" t="s">
        <v>5526</v>
      </c>
      <c r="W1090" s="7">
        <v>0</v>
      </c>
      <c r="X1090" s="7">
        <v>3</v>
      </c>
      <c r="Y1090" s="7">
        <v>3</v>
      </c>
      <c r="Z1090" s="7">
        <v>2</v>
      </c>
      <c r="AA1090" s="7">
        <v>1</v>
      </c>
      <c r="AB1090" s="7">
        <v>1</v>
      </c>
      <c r="AC1090" s="7" t="s">
        <v>0</v>
      </c>
      <c r="AD1090" s="7">
        <v>1</v>
      </c>
      <c r="AE1090" s="7" t="s">
        <v>60</v>
      </c>
    </row>
    <row r="1091" spans="1:31" ht="38.25" x14ac:dyDescent="0.2">
      <c r="A1091" s="8" t="str">
        <f>HYPERLINK("http://www.patentics.cn/invokexml.do?sx=showpatent_cn&amp;sf=ShowPatent&amp;spn=US9451563&amp;sx=showpatent_cn&amp;sv=1f98b5f1b7e8e2b9b63524956e9dfe3e","US9451563")</f>
        <v>US9451563</v>
      </c>
      <c r="B1091" s="9" t="s">
        <v>5195</v>
      </c>
      <c r="C1091" s="9" t="s">
        <v>5196</v>
      </c>
      <c r="D1091" s="9" t="s">
        <v>48</v>
      </c>
      <c r="E1091" s="9" t="s">
        <v>49</v>
      </c>
      <c r="F1091" s="9" t="s">
        <v>5197</v>
      </c>
      <c r="G1091" s="9" t="s">
        <v>1816</v>
      </c>
      <c r="H1091" s="9" t="s">
        <v>5198</v>
      </c>
      <c r="I1091" s="9" t="s">
        <v>5198</v>
      </c>
      <c r="J1091" s="9" t="s">
        <v>513</v>
      </c>
      <c r="K1091" s="9" t="s">
        <v>55</v>
      </c>
      <c r="L1091" s="9" t="s">
        <v>56</v>
      </c>
      <c r="M1091" s="9">
        <v>30</v>
      </c>
      <c r="N1091" s="9">
        <v>16</v>
      </c>
      <c r="O1091" s="9" t="s">
        <v>57</v>
      </c>
      <c r="P1091" s="9" t="s">
        <v>58</v>
      </c>
      <c r="Q1091" s="9">
        <v>14</v>
      </c>
      <c r="R1091" s="9">
        <v>1</v>
      </c>
      <c r="S1091" s="9">
        <v>13</v>
      </c>
      <c r="T1091" s="9">
        <v>8</v>
      </c>
      <c r="U1091" s="9">
        <v>0</v>
      </c>
      <c r="V1091" s="9" t="s">
        <v>114</v>
      </c>
      <c r="W1091" s="9">
        <v>0</v>
      </c>
      <c r="X1091" s="9">
        <v>0</v>
      </c>
      <c r="Y1091" s="9">
        <v>0</v>
      </c>
      <c r="Z1091" s="9">
        <v>0</v>
      </c>
      <c r="AA1091" s="9">
        <v>5</v>
      </c>
      <c r="AB1091" s="9">
        <v>5</v>
      </c>
      <c r="AC1091" s="9">
        <v>14</v>
      </c>
      <c r="AD1091" s="9" t="s">
        <v>0</v>
      </c>
      <c r="AE1091" s="9" t="s">
        <v>60</v>
      </c>
    </row>
    <row r="1092" spans="1:31" ht="38.25" x14ac:dyDescent="0.2">
      <c r="A1092" s="6" t="str">
        <f>HYPERLINK("http://www.patentics.cn/invokexml.do?sx=showpatent_cn&amp;sf=ShowPatent&amp;spn=CN102387368&amp;sx=showpatent_cn&amp;sv=2a50883c1601a63d4bb353202f9eebd9","CN102387368")</f>
        <v>CN102387368</v>
      </c>
      <c r="B1092" s="7" t="s">
        <v>5527</v>
      </c>
      <c r="C1092" s="7" t="s">
        <v>5528</v>
      </c>
      <c r="D1092" s="7" t="s">
        <v>3735</v>
      </c>
      <c r="E1092" s="7" t="s">
        <v>3735</v>
      </c>
      <c r="F1092" s="7" t="s">
        <v>5529</v>
      </c>
      <c r="G1092" s="7" t="s">
        <v>5530</v>
      </c>
      <c r="H1092" s="7" t="s">
        <v>292</v>
      </c>
      <c r="I1092" s="7" t="s">
        <v>292</v>
      </c>
      <c r="J1092" s="7" t="s">
        <v>1870</v>
      </c>
      <c r="K1092" s="7" t="s">
        <v>714</v>
      </c>
      <c r="L1092" s="7" t="s">
        <v>2278</v>
      </c>
      <c r="M1092" s="7">
        <v>1</v>
      </c>
      <c r="N1092" s="7">
        <v>29</v>
      </c>
      <c r="O1092" s="7" t="s">
        <v>42</v>
      </c>
      <c r="P1092" s="7" t="s">
        <v>43</v>
      </c>
      <c r="Q1092" s="7">
        <v>5</v>
      </c>
      <c r="R1092" s="7">
        <v>0</v>
      </c>
      <c r="S1092" s="7">
        <v>5</v>
      </c>
      <c r="T1092" s="7">
        <v>4</v>
      </c>
      <c r="U1092" s="7">
        <v>8</v>
      </c>
      <c r="V1092" s="7" t="s">
        <v>5531</v>
      </c>
      <c r="W1092" s="7">
        <v>0</v>
      </c>
      <c r="X1092" s="7">
        <v>8</v>
      </c>
      <c r="Y1092" s="7">
        <v>5</v>
      </c>
      <c r="Z1092" s="7">
        <v>2</v>
      </c>
      <c r="AA1092" s="7">
        <v>1</v>
      </c>
      <c r="AB1092" s="7">
        <v>1</v>
      </c>
      <c r="AC1092" s="7" t="s">
        <v>0</v>
      </c>
      <c r="AD1092" s="7">
        <v>1</v>
      </c>
      <c r="AE1092" s="7" t="s">
        <v>60</v>
      </c>
    </row>
    <row r="1093" spans="1:31" ht="38.25" x14ac:dyDescent="0.2">
      <c r="A1093" s="8" t="str">
        <f>HYPERLINK("http://www.patentics.cn/invokexml.do?sx=showpatent_cn&amp;sf=ShowPatent&amp;spn=WO2014089727&amp;sx=showpatent_cn&amp;sv=9bac30e2520d9c5a97531cb681e5cf38","WO2014089727")</f>
        <v>WO2014089727</v>
      </c>
      <c r="B1093" s="9" t="s">
        <v>5532</v>
      </c>
      <c r="C1093" s="9" t="s">
        <v>5533</v>
      </c>
      <c r="D1093" s="9" t="s">
        <v>117</v>
      </c>
      <c r="E1093" s="9" t="s">
        <v>49</v>
      </c>
      <c r="F1093" s="9" t="s">
        <v>5534</v>
      </c>
      <c r="G1093" s="9" t="s">
        <v>5535</v>
      </c>
      <c r="H1093" s="9" t="s">
        <v>5536</v>
      </c>
      <c r="I1093" s="9" t="s">
        <v>5536</v>
      </c>
      <c r="J1093" s="9" t="s">
        <v>3666</v>
      </c>
      <c r="K1093" s="9" t="s">
        <v>2163</v>
      </c>
      <c r="L1093" s="9" t="s">
        <v>3943</v>
      </c>
      <c r="M1093" s="9">
        <v>76</v>
      </c>
      <c r="N1093" s="9">
        <v>12</v>
      </c>
      <c r="O1093" s="9" t="s">
        <v>850</v>
      </c>
      <c r="P1093" s="9" t="s">
        <v>43</v>
      </c>
      <c r="Q1093" s="9">
        <v>3</v>
      </c>
      <c r="R1093" s="9">
        <v>1</v>
      </c>
      <c r="S1093" s="9">
        <v>2</v>
      </c>
      <c r="T1093" s="9">
        <v>3</v>
      </c>
      <c r="U1093" s="9">
        <v>0</v>
      </c>
      <c r="V1093" s="9" t="s">
        <v>114</v>
      </c>
      <c r="W1093" s="9">
        <v>0</v>
      </c>
      <c r="X1093" s="9">
        <v>0</v>
      </c>
      <c r="Y1093" s="9">
        <v>0</v>
      </c>
      <c r="Z1093" s="9">
        <v>0</v>
      </c>
      <c r="AA1093" s="9">
        <v>5</v>
      </c>
      <c r="AB1093" s="9">
        <v>6</v>
      </c>
      <c r="AC1093" s="9">
        <v>14</v>
      </c>
      <c r="AD1093" s="9" t="s">
        <v>0</v>
      </c>
      <c r="AE1093" s="9" t="s">
        <v>0</v>
      </c>
    </row>
    <row r="1094" spans="1:31" ht="89.25" x14ac:dyDescent="0.2">
      <c r="A1094" s="6" t="str">
        <f>HYPERLINK("http://www.patentics.cn/invokexml.do?sx=showpatent_cn&amp;sf=ShowPatent&amp;spn=CN102385908&amp;sx=showpatent_cn&amp;sv=9242a32b8786afe4c4848fd2988ba6ac","CN102385908")</f>
        <v>CN102385908</v>
      </c>
      <c r="B1094" s="7" t="s">
        <v>5537</v>
      </c>
      <c r="C1094" s="7" t="s">
        <v>5538</v>
      </c>
      <c r="D1094" s="7" t="s">
        <v>524</v>
      </c>
      <c r="E1094" s="7" t="s">
        <v>524</v>
      </c>
      <c r="F1094" s="7" t="s">
        <v>5539</v>
      </c>
      <c r="G1094" s="7" t="s">
        <v>5540</v>
      </c>
      <c r="H1094" s="7" t="s">
        <v>0</v>
      </c>
      <c r="I1094" s="7" t="s">
        <v>5541</v>
      </c>
      <c r="J1094" s="7" t="s">
        <v>1870</v>
      </c>
      <c r="K1094" s="7" t="s">
        <v>3305</v>
      </c>
      <c r="L1094" s="7" t="s">
        <v>5542</v>
      </c>
      <c r="M1094" s="7">
        <v>4</v>
      </c>
      <c r="N1094" s="7">
        <v>23</v>
      </c>
      <c r="O1094" s="7" t="s">
        <v>42</v>
      </c>
      <c r="P1094" s="7" t="s">
        <v>43</v>
      </c>
      <c r="Q1094" s="7">
        <v>0</v>
      </c>
      <c r="R1094" s="7">
        <v>0</v>
      </c>
      <c r="S1094" s="7">
        <v>0</v>
      </c>
      <c r="T1094" s="7">
        <v>0</v>
      </c>
      <c r="U1094" s="7">
        <v>2</v>
      </c>
      <c r="V1094" s="7" t="s">
        <v>5543</v>
      </c>
      <c r="W1094" s="7">
        <v>1</v>
      </c>
      <c r="X1094" s="7">
        <v>1</v>
      </c>
      <c r="Y1094" s="7">
        <v>2</v>
      </c>
      <c r="Z1094" s="7">
        <v>2</v>
      </c>
      <c r="AA1094" s="7">
        <v>0</v>
      </c>
      <c r="AB1094" s="7">
        <v>0</v>
      </c>
      <c r="AC1094" s="7" t="s">
        <v>0</v>
      </c>
      <c r="AD1094" s="7">
        <v>1</v>
      </c>
      <c r="AE1094" s="7" t="s">
        <v>45</v>
      </c>
    </row>
    <row r="1095" spans="1:31" ht="153" x14ac:dyDescent="0.2">
      <c r="A1095" s="8" t="str">
        <f>HYPERLINK("http://www.patentics.cn/invokexml.do?sx=showpatent_cn&amp;sf=ShowPatent&amp;spn=US9524972&amp;sx=showpatent_cn&amp;sv=fc5066bac4f98ddcbe3cde2cca72b66d","US9524972")</f>
        <v>US9524972</v>
      </c>
      <c r="B1095" s="9" t="s">
        <v>5544</v>
      </c>
      <c r="C1095" s="9" t="s">
        <v>5545</v>
      </c>
      <c r="D1095" s="9" t="s">
        <v>117</v>
      </c>
      <c r="E1095" s="9" t="s">
        <v>49</v>
      </c>
      <c r="F1095" s="9" t="s">
        <v>5546</v>
      </c>
      <c r="G1095" s="9" t="s">
        <v>5547</v>
      </c>
      <c r="H1095" s="9" t="s">
        <v>5270</v>
      </c>
      <c r="I1095" s="9" t="s">
        <v>5270</v>
      </c>
      <c r="J1095" s="9" t="s">
        <v>5215</v>
      </c>
      <c r="K1095" s="9" t="s">
        <v>773</v>
      </c>
      <c r="L1095" s="9" t="s">
        <v>5548</v>
      </c>
      <c r="M1095" s="9">
        <v>8</v>
      </c>
      <c r="N1095" s="9">
        <v>5</v>
      </c>
      <c r="O1095" s="9" t="s">
        <v>57</v>
      </c>
      <c r="P1095" s="9" t="s">
        <v>58</v>
      </c>
      <c r="Q1095" s="9">
        <v>21</v>
      </c>
      <c r="R1095" s="9">
        <v>1</v>
      </c>
      <c r="S1095" s="9">
        <v>20</v>
      </c>
      <c r="T1095" s="9">
        <v>11</v>
      </c>
      <c r="U1095" s="9">
        <v>0</v>
      </c>
      <c r="V1095" s="9" t="s">
        <v>114</v>
      </c>
      <c r="W1095" s="9">
        <v>0</v>
      </c>
      <c r="X1095" s="9">
        <v>0</v>
      </c>
      <c r="Y1095" s="9">
        <v>0</v>
      </c>
      <c r="Z1095" s="9">
        <v>0</v>
      </c>
      <c r="AA1095" s="9">
        <v>3</v>
      </c>
      <c r="AB1095" s="9">
        <v>2</v>
      </c>
      <c r="AC1095" s="9">
        <v>14</v>
      </c>
      <c r="AD1095" s="9" t="s">
        <v>0</v>
      </c>
      <c r="AE1095" s="9" t="s">
        <v>60</v>
      </c>
    </row>
    <row r="1096" spans="1:31" ht="89.25" x14ac:dyDescent="0.2">
      <c r="A1096" s="6" t="str">
        <f>HYPERLINK("http://www.patentics.cn/invokexml.do?sx=showpatent_cn&amp;sf=ShowPatent&amp;spn=CN102375805&amp;sx=showpatent_cn&amp;sv=67b06f7943de17c3c5271d39782db799","CN102375805")</f>
        <v>CN102375805</v>
      </c>
      <c r="B1096" s="7" t="s">
        <v>5549</v>
      </c>
      <c r="C1096" s="7" t="s">
        <v>5550</v>
      </c>
      <c r="D1096" s="7" t="s">
        <v>2548</v>
      </c>
      <c r="E1096" s="7" t="s">
        <v>2549</v>
      </c>
      <c r="F1096" s="7" t="s">
        <v>5551</v>
      </c>
      <c r="G1096" s="7" t="s">
        <v>5552</v>
      </c>
      <c r="H1096" s="7" t="s">
        <v>5553</v>
      </c>
      <c r="I1096" s="7" t="s">
        <v>5553</v>
      </c>
      <c r="J1096" s="7" t="s">
        <v>5554</v>
      </c>
      <c r="K1096" s="7" t="s">
        <v>885</v>
      </c>
      <c r="L1096" s="7" t="s">
        <v>1353</v>
      </c>
      <c r="M1096" s="7">
        <v>7</v>
      </c>
      <c r="N1096" s="7">
        <v>25</v>
      </c>
      <c r="O1096" s="7" t="s">
        <v>42</v>
      </c>
      <c r="P1096" s="7" t="s">
        <v>43</v>
      </c>
      <c r="Q1096" s="7">
        <v>5</v>
      </c>
      <c r="R1096" s="7">
        <v>1</v>
      </c>
      <c r="S1096" s="7">
        <v>4</v>
      </c>
      <c r="T1096" s="7">
        <v>4</v>
      </c>
      <c r="U1096" s="7">
        <v>6</v>
      </c>
      <c r="V1096" s="7" t="s">
        <v>5555</v>
      </c>
      <c r="W1096" s="7">
        <v>2</v>
      </c>
      <c r="X1096" s="7">
        <v>4</v>
      </c>
      <c r="Y1096" s="7">
        <v>4</v>
      </c>
      <c r="Z1096" s="7">
        <v>2</v>
      </c>
      <c r="AA1096" s="7">
        <v>1</v>
      </c>
      <c r="AB1096" s="7">
        <v>1</v>
      </c>
      <c r="AC1096" s="7" t="s">
        <v>0</v>
      </c>
      <c r="AD1096" s="7">
        <v>1</v>
      </c>
      <c r="AE1096" s="7" t="s">
        <v>60</v>
      </c>
    </row>
    <row r="1097" spans="1:31" ht="89.25" x14ac:dyDescent="0.2">
      <c r="A1097" s="8" t="str">
        <f>HYPERLINK("http://www.patentics.cn/invokexml.do?sx=showpatent_cn&amp;sf=ShowPatent&amp;spn=US9275014&amp;sx=showpatent_cn&amp;sv=5a0e76f5fb27a303d05924e283c6d1c0","US9275014")</f>
        <v>US9275014</v>
      </c>
      <c r="B1097" s="9" t="s">
        <v>5556</v>
      </c>
      <c r="C1097" s="9" t="s">
        <v>5557</v>
      </c>
      <c r="D1097" s="9" t="s">
        <v>48</v>
      </c>
      <c r="E1097" s="9" t="s">
        <v>49</v>
      </c>
      <c r="F1097" s="9" t="s">
        <v>5558</v>
      </c>
      <c r="G1097" s="9" t="s">
        <v>5558</v>
      </c>
      <c r="H1097" s="9" t="s">
        <v>734</v>
      </c>
      <c r="I1097" s="9" t="s">
        <v>734</v>
      </c>
      <c r="J1097" s="9" t="s">
        <v>772</v>
      </c>
      <c r="K1097" s="9" t="s">
        <v>885</v>
      </c>
      <c r="L1097" s="9" t="s">
        <v>1353</v>
      </c>
      <c r="M1097" s="9">
        <v>29</v>
      </c>
      <c r="N1097" s="9">
        <v>29</v>
      </c>
      <c r="O1097" s="9" t="s">
        <v>57</v>
      </c>
      <c r="P1097" s="9" t="s">
        <v>58</v>
      </c>
      <c r="Q1097" s="9">
        <v>31</v>
      </c>
      <c r="R1097" s="9">
        <v>4</v>
      </c>
      <c r="S1097" s="9">
        <v>27</v>
      </c>
      <c r="T1097" s="9">
        <v>23</v>
      </c>
      <c r="U1097" s="9">
        <v>0</v>
      </c>
      <c r="V1097" s="9" t="s">
        <v>114</v>
      </c>
      <c r="W1097" s="9">
        <v>0</v>
      </c>
      <c r="X1097" s="9">
        <v>0</v>
      </c>
      <c r="Y1097" s="9">
        <v>0</v>
      </c>
      <c r="Z1097" s="9">
        <v>0</v>
      </c>
      <c r="AA1097" s="9">
        <v>6</v>
      </c>
      <c r="AB1097" s="9">
        <v>6</v>
      </c>
      <c r="AC1097" s="9">
        <v>14</v>
      </c>
      <c r="AD1097" s="9" t="s">
        <v>0</v>
      </c>
      <c r="AE1097" s="9" t="s">
        <v>60</v>
      </c>
    </row>
    <row r="1098" spans="1:31" ht="25.5" x14ac:dyDescent="0.2">
      <c r="A1098" s="6" t="str">
        <f>HYPERLINK("http://www.patentics.cn/invokexml.do?sx=showpatent_cn&amp;sf=ShowPatent&amp;spn=CN102350700&amp;sx=showpatent_cn&amp;sv=1385535eca6b5ad8b8724980cab90748","CN102350700")</f>
        <v>CN102350700</v>
      </c>
      <c r="B1098" s="7" t="s">
        <v>5559</v>
      </c>
      <c r="C1098" s="7" t="s">
        <v>5560</v>
      </c>
      <c r="D1098" s="7" t="s">
        <v>1295</v>
      </c>
      <c r="E1098" s="7" t="s">
        <v>1295</v>
      </c>
      <c r="F1098" s="7" t="s">
        <v>5561</v>
      </c>
      <c r="G1098" s="7" t="s">
        <v>5562</v>
      </c>
      <c r="H1098" s="7" t="s">
        <v>0</v>
      </c>
      <c r="I1098" s="7" t="s">
        <v>5563</v>
      </c>
      <c r="J1098" s="7" t="s">
        <v>2002</v>
      </c>
      <c r="K1098" s="7" t="s">
        <v>915</v>
      </c>
      <c r="L1098" s="7" t="s">
        <v>916</v>
      </c>
      <c r="M1098" s="7">
        <v>10</v>
      </c>
      <c r="N1098" s="7">
        <v>16</v>
      </c>
      <c r="O1098" s="7" t="s">
        <v>42</v>
      </c>
      <c r="P1098" s="7" t="s">
        <v>43</v>
      </c>
      <c r="Q1098" s="7">
        <v>0</v>
      </c>
      <c r="R1098" s="7">
        <v>0</v>
      </c>
      <c r="S1098" s="7">
        <v>0</v>
      </c>
      <c r="T1098" s="7">
        <v>0</v>
      </c>
      <c r="U1098" s="7">
        <v>7</v>
      </c>
      <c r="V1098" s="7" t="s">
        <v>5564</v>
      </c>
      <c r="W1098" s="7">
        <v>0</v>
      </c>
      <c r="X1098" s="7">
        <v>7</v>
      </c>
      <c r="Y1098" s="7">
        <v>5</v>
      </c>
      <c r="Z1098" s="7">
        <v>2</v>
      </c>
      <c r="AA1098" s="7">
        <v>0</v>
      </c>
      <c r="AB1098" s="7">
        <v>0</v>
      </c>
      <c r="AC1098" s="7" t="s">
        <v>0</v>
      </c>
      <c r="AD1098" s="7">
        <v>1</v>
      </c>
      <c r="AE1098" s="7" t="s">
        <v>45</v>
      </c>
    </row>
    <row r="1099" spans="1:31" ht="76.5" x14ac:dyDescent="0.2">
      <c r="A1099" s="8" t="str">
        <f>HYPERLINK("http://www.patentics.cn/invokexml.do?sx=showpatent_cn&amp;sf=ShowPatent&amp;spn=CN104602869B&amp;sx=showpatent_cn&amp;sv=321d87099ba19ba45ce7302113510f86","CN104602869B")</f>
        <v>CN104602869B</v>
      </c>
      <c r="B1099" s="9" t="s">
        <v>5565</v>
      </c>
      <c r="C1099" s="9" t="s">
        <v>5566</v>
      </c>
      <c r="D1099" s="9" t="s">
        <v>301</v>
      </c>
      <c r="E1099" s="9" t="s">
        <v>301</v>
      </c>
      <c r="F1099" s="9" t="s">
        <v>5567</v>
      </c>
      <c r="G1099" s="9" t="s">
        <v>5488</v>
      </c>
      <c r="H1099" s="9" t="s">
        <v>1094</v>
      </c>
      <c r="I1099" s="9" t="s">
        <v>752</v>
      </c>
      <c r="J1099" s="9" t="s">
        <v>2058</v>
      </c>
      <c r="K1099" s="9" t="s">
        <v>915</v>
      </c>
      <c r="L1099" s="9" t="s">
        <v>916</v>
      </c>
      <c r="M1099" s="9">
        <v>23</v>
      </c>
      <c r="N1099" s="9">
        <v>16</v>
      </c>
      <c r="O1099" s="9" t="s">
        <v>57</v>
      </c>
      <c r="P1099" s="9" t="s">
        <v>58</v>
      </c>
      <c r="Q1099" s="9">
        <v>6</v>
      </c>
      <c r="R1099" s="9">
        <v>0</v>
      </c>
      <c r="S1099" s="9">
        <v>6</v>
      </c>
      <c r="T1099" s="9">
        <v>6</v>
      </c>
      <c r="U1099" s="9">
        <v>0</v>
      </c>
      <c r="V1099" s="9" t="s">
        <v>114</v>
      </c>
      <c r="W1099" s="9">
        <v>0</v>
      </c>
      <c r="X1099" s="9">
        <v>0</v>
      </c>
      <c r="Y1099" s="9">
        <v>0</v>
      </c>
      <c r="Z1099" s="9">
        <v>0</v>
      </c>
      <c r="AA1099" s="9">
        <v>0</v>
      </c>
      <c r="AB1099" s="9">
        <v>0</v>
      </c>
      <c r="AC1099" s="9">
        <v>14</v>
      </c>
      <c r="AD1099" s="9" t="s">
        <v>0</v>
      </c>
      <c r="AE1099" s="9" t="s">
        <v>60</v>
      </c>
    </row>
    <row r="1100" spans="1:31" ht="63.75" x14ac:dyDescent="0.2">
      <c r="A1100" s="6" t="str">
        <f>HYPERLINK("http://www.patentics.cn/invokexml.do?sx=showpatent_cn&amp;sf=ShowPatent&amp;spn=CN102348282&amp;sx=showpatent_cn&amp;sv=2f76acf1460d3c925da297af95a07362","CN102348282")</f>
        <v>CN102348282</v>
      </c>
      <c r="B1100" s="7" t="s">
        <v>5568</v>
      </c>
      <c r="C1100" s="7" t="s">
        <v>5569</v>
      </c>
      <c r="D1100" s="7" t="s">
        <v>3430</v>
      </c>
      <c r="E1100" s="7" t="s">
        <v>3430</v>
      </c>
      <c r="F1100" s="7" t="s">
        <v>5570</v>
      </c>
      <c r="G1100" s="7" t="s">
        <v>5571</v>
      </c>
      <c r="H1100" s="7" t="s">
        <v>0</v>
      </c>
      <c r="I1100" s="7" t="s">
        <v>5572</v>
      </c>
      <c r="J1100" s="7" t="s">
        <v>5451</v>
      </c>
      <c r="K1100" s="7" t="s">
        <v>55</v>
      </c>
      <c r="L1100" s="7" t="s">
        <v>1175</v>
      </c>
      <c r="M1100" s="7">
        <v>4</v>
      </c>
      <c r="N1100" s="7">
        <v>88</v>
      </c>
      <c r="O1100" s="7" t="s">
        <v>42</v>
      </c>
      <c r="P1100" s="7" t="s">
        <v>43</v>
      </c>
      <c r="Q1100" s="7">
        <v>1</v>
      </c>
      <c r="R1100" s="7">
        <v>0</v>
      </c>
      <c r="S1100" s="7">
        <v>1</v>
      </c>
      <c r="T1100" s="7">
        <v>1</v>
      </c>
      <c r="U1100" s="7">
        <v>11</v>
      </c>
      <c r="V1100" s="7" t="s">
        <v>5573</v>
      </c>
      <c r="W1100" s="7">
        <v>0</v>
      </c>
      <c r="X1100" s="7">
        <v>11</v>
      </c>
      <c r="Y1100" s="7">
        <v>7</v>
      </c>
      <c r="Z1100" s="7">
        <v>2</v>
      </c>
      <c r="AA1100" s="7">
        <v>0</v>
      </c>
      <c r="AB1100" s="7">
        <v>0</v>
      </c>
      <c r="AC1100" s="7" t="s">
        <v>0</v>
      </c>
      <c r="AD1100" s="7">
        <v>1</v>
      </c>
      <c r="AE1100" s="7" t="s">
        <v>45</v>
      </c>
    </row>
    <row r="1101" spans="1:31" ht="140.25" x14ac:dyDescent="0.2">
      <c r="A1101" s="8" t="str">
        <f>HYPERLINK("http://www.patentics.cn/invokexml.do?sx=showpatent_cn&amp;sf=ShowPatent&amp;spn=US9424417&amp;sx=showpatent_cn&amp;sv=d06c4bf08288bf6b6220f0d955804a30","US9424417")</f>
        <v>US9424417</v>
      </c>
      <c r="B1101" s="9" t="s">
        <v>5574</v>
      </c>
      <c r="C1101" s="9" t="s">
        <v>5575</v>
      </c>
      <c r="D1101" s="9" t="s">
        <v>48</v>
      </c>
      <c r="E1101" s="9" t="s">
        <v>49</v>
      </c>
      <c r="F1101" s="9" t="s">
        <v>5576</v>
      </c>
      <c r="G1101" s="9" t="s">
        <v>5577</v>
      </c>
      <c r="H1101" s="9" t="s">
        <v>5578</v>
      </c>
      <c r="I1101" s="9" t="s">
        <v>5578</v>
      </c>
      <c r="J1101" s="9" t="s">
        <v>280</v>
      </c>
      <c r="K1101" s="9" t="s">
        <v>885</v>
      </c>
      <c r="L1101" s="9" t="s">
        <v>1014</v>
      </c>
      <c r="M1101" s="9">
        <v>30</v>
      </c>
      <c r="N1101" s="9">
        <v>10</v>
      </c>
      <c r="O1101" s="9" t="s">
        <v>57</v>
      </c>
      <c r="P1101" s="9" t="s">
        <v>58</v>
      </c>
      <c r="Q1101" s="9">
        <v>20</v>
      </c>
      <c r="R1101" s="9">
        <v>5</v>
      </c>
      <c r="S1101" s="9">
        <v>15</v>
      </c>
      <c r="T1101" s="9">
        <v>15</v>
      </c>
      <c r="U1101" s="9">
        <v>1</v>
      </c>
      <c r="V1101" s="9" t="s">
        <v>70</v>
      </c>
      <c r="W1101" s="9">
        <v>0</v>
      </c>
      <c r="X1101" s="9">
        <v>1</v>
      </c>
      <c r="Y1101" s="9">
        <v>1</v>
      </c>
      <c r="Z1101" s="9">
        <v>1</v>
      </c>
      <c r="AA1101" s="9">
        <v>5</v>
      </c>
      <c r="AB1101" s="9">
        <v>5</v>
      </c>
      <c r="AC1101" s="9">
        <v>14</v>
      </c>
      <c r="AD1101" s="9" t="s">
        <v>0</v>
      </c>
      <c r="AE1101" s="9" t="s">
        <v>60</v>
      </c>
    </row>
    <row r="1102" spans="1:31" ht="25.5" x14ac:dyDescent="0.2">
      <c r="A1102" s="6" t="str">
        <f>HYPERLINK("http://www.patentics.cn/invokexml.do?sx=showpatent_cn&amp;sf=ShowPatent&amp;spn=CN102338866&amp;sx=showpatent_cn&amp;sv=16ef48e045a7fdba768eb7af84efbd31","CN102338866")</f>
        <v>CN102338866</v>
      </c>
      <c r="B1102" s="7" t="s">
        <v>5579</v>
      </c>
      <c r="C1102" s="7" t="s">
        <v>5580</v>
      </c>
      <c r="D1102" s="7" t="s">
        <v>5581</v>
      </c>
      <c r="E1102" s="7" t="s">
        <v>5581</v>
      </c>
      <c r="F1102" s="7" t="s">
        <v>5582</v>
      </c>
      <c r="G1102" s="7" t="s">
        <v>5583</v>
      </c>
      <c r="H1102" s="7" t="s">
        <v>0</v>
      </c>
      <c r="I1102" s="7" t="s">
        <v>5584</v>
      </c>
      <c r="J1102" s="7" t="s">
        <v>5585</v>
      </c>
      <c r="K1102" s="7" t="s">
        <v>1142</v>
      </c>
      <c r="L1102" s="7" t="s">
        <v>1143</v>
      </c>
      <c r="M1102" s="7">
        <v>2</v>
      </c>
      <c r="N1102" s="7">
        <v>131</v>
      </c>
      <c r="O1102" s="7" t="s">
        <v>42</v>
      </c>
      <c r="P1102" s="7" t="s">
        <v>43</v>
      </c>
      <c r="Q1102" s="7">
        <v>0</v>
      </c>
      <c r="R1102" s="7">
        <v>0</v>
      </c>
      <c r="S1102" s="7">
        <v>0</v>
      </c>
      <c r="T1102" s="7">
        <v>0</v>
      </c>
      <c r="U1102" s="7">
        <v>11</v>
      </c>
      <c r="V1102" s="7" t="s">
        <v>5586</v>
      </c>
      <c r="W1102" s="7">
        <v>0</v>
      </c>
      <c r="X1102" s="7">
        <v>11</v>
      </c>
      <c r="Y1102" s="7">
        <v>8</v>
      </c>
      <c r="Z1102" s="7">
        <v>2</v>
      </c>
      <c r="AA1102" s="7">
        <v>0</v>
      </c>
      <c r="AB1102" s="7">
        <v>0</v>
      </c>
      <c r="AC1102" s="7" t="s">
        <v>0</v>
      </c>
      <c r="AD1102" s="7">
        <v>1</v>
      </c>
      <c r="AE1102" s="7" t="s">
        <v>1390</v>
      </c>
    </row>
    <row r="1103" spans="1:31" ht="89.25" x14ac:dyDescent="0.2">
      <c r="A1103" s="8" t="str">
        <f>HYPERLINK("http://www.patentics.cn/invokexml.do?sx=showpatent_cn&amp;sf=ShowPatent&amp;spn=US9198004&amp;sx=showpatent_cn&amp;sv=e2f6b72d74eb12e302c9e589098da8fc","US9198004")</f>
        <v>US9198004</v>
      </c>
      <c r="B1103" s="9" t="s">
        <v>5587</v>
      </c>
      <c r="C1103" s="9" t="s">
        <v>5588</v>
      </c>
      <c r="D1103" s="9" t="s">
        <v>48</v>
      </c>
      <c r="E1103" s="9" t="s">
        <v>49</v>
      </c>
      <c r="F1103" s="9" t="s">
        <v>5589</v>
      </c>
      <c r="G1103" s="9" t="s">
        <v>943</v>
      </c>
      <c r="H1103" s="9" t="s">
        <v>1234</v>
      </c>
      <c r="I1103" s="9" t="s">
        <v>1234</v>
      </c>
      <c r="J1103" s="9" t="s">
        <v>3581</v>
      </c>
      <c r="K1103" s="9" t="s">
        <v>55</v>
      </c>
      <c r="L1103" s="9" t="s">
        <v>5590</v>
      </c>
      <c r="M1103" s="9">
        <v>53</v>
      </c>
      <c r="N1103" s="9">
        <v>13</v>
      </c>
      <c r="O1103" s="9" t="s">
        <v>57</v>
      </c>
      <c r="P1103" s="9" t="s">
        <v>58</v>
      </c>
      <c r="Q1103" s="9">
        <v>11</v>
      </c>
      <c r="R1103" s="9">
        <v>2</v>
      </c>
      <c r="S1103" s="9">
        <v>9</v>
      </c>
      <c r="T1103" s="9">
        <v>7</v>
      </c>
      <c r="U1103" s="9">
        <v>2</v>
      </c>
      <c r="V1103" s="9" t="s">
        <v>1236</v>
      </c>
      <c r="W1103" s="9">
        <v>0</v>
      </c>
      <c r="X1103" s="9">
        <v>2</v>
      </c>
      <c r="Y1103" s="9">
        <v>2</v>
      </c>
      <c r="Z1103" s="9">
        <v>1</v>
      </c>
      <c r="AA1103" s="9">
        <v>6</v>
      </c>
      <c r="AB1103" s="9">
        <v>6</v>
      </c>
      <c r="AC1103" s="9">
        <v>14</v>
      </c>
      <c r="AD1103" s="9" t="s">
        <v>0</v>
      </c>
      <c r="AE1103" s="9" t="s">
        <v>60</v>
      </c>
    </row>
    <row r="1104" spans="1:31" ht="25.5" x14ac:dyDescent="0.2">
      <c r="A1104" s="6" t="str">
        <f>HYPERLINK("http://www.patentics.cn/invokexml.do?sx=showpatent_cn&amp;sf=ShowPatent&amp;spn=CN102332818&amp;sx=showpatent_cn&amp;sv=e9f7c5a33fdee2f3b15962e2157e2288","CN102332818")</f>
        <v>CN102332818</v>
      </c>
      <c r="B1104" s="7" t="s">
        <v>5591</v>
      </c>
      <c r="C1104" s="7" t="s">
        <v>5592</v>
      </c>
      <c r="D1104" s="7" t="s">
        <v>3184</v>
      </c>
      <c r="E1104" s="7" t="s">
        <v>3184</v>
      </c>
      <c r="F1104" s="7" t="s">
        <v>5593</v>
      </c>
      <c r="G1104" s="7" t="s">
        <v>5593</v>
      </c>
      <c r="H1104" s="7" t="s">
        <v>696</v>
      </c>
      <c r="I1104" s="7" t="s">
        <v>696</v>
      </c>
      <c r="J1104" s="7" t="s">
        <v>2337</v>
      </c>
      <c r="K1104" s="7" t="s">
        <v>3123</v>
      </c>
      <c r="L1104" s="7" t="s">
        <v>5594</v>
      </c>
      <c r="M1104" s="7">
        <v>7</v>
      </c>
      <c r="N1104" s="7">
        <v>27</v>
      </c>
      <c r="O1104" s="7" t="s">
        <v>42</v>
      </c>
      <c r="P1104" s="7" t="s">
        <v>43</v>
      </c>
      <c r="Q1104" s="7">
        <v>4</v>
      </c>
      <c r="R1104" s="7">
        <v>1</v>
      </c>
      <c r="S1104" s="7">
        <v>3</v>
      </c>
      <c r="T1104" s="7">
        <v>3</v>
      </c>
      <c r="U1104" s="7">
        <v>4</v>
      </c>
      <c r="V1104" s="7" t="s">
        <v>5595</v>
      </c>
      <c r="W1104" s="7">
        <v>0</v>
      </c>
      <c r="X1104" s="7">
        <v>4</v>
      </c>
      <c r="Y1104" s="7">
        <v>3</v>
      </c>
      <c r="Z1104" s="7">
        <v>2</v>
      </c>
      <c r="AA1104" s="7">
        <v>1</v>
      </c>
      <c r="AB1104" s="7">
        <v>1</v>
      </c>
      <c r="AC1104" s="7" t="s">
        <v>0</v>
      </c>
      <c r="AD1104" s="7">
        <v>1</v>
      </c>
      <c r="AE1104" s="7" t="s">
        <v>60</v>
      </c>
    </row>
    <row r="1105" spans="1:31" ht="114.75" x14ac:dyDescent="0.2">
      <c r="A1105" s="8" t="str">
        <f>HYPERLINK("http://www.patentics.cn/invokexml.do?sx=showpatent_cn&amp;sf=ShowPatent&amp;spn=US9793804&amp;sx=showpatent_cn&amp;sv=2071621dbf8e065ed0e71e90ed2278bf","US9793804")</f>
        <v>US9793804</v>
      </c>
      <c r="B1105" s="9" t="s">
        <v>5596</v>
      </c>
      <c r="C1105" s="9" t="s">
        <v>5597</v>
      </c>
      <c r="D1105" s="9" t="s">
        <v>48</v>
      </c>
      <c r="E1105" s="9" t="s">
        <v>49</v>
      </c>
      <c r="F1105" s="9" t="s">
        <v>5598</v>
      </c>
      <c r="G1105" s="9" t="s">
        <v>5599</v>
      </c>
      <c r="H1105" s="9" t="s">
        <v>0</v>
      </c>
      <c r="I1105" s="9" t="s">
        <v>573</v>
      </c>
      <c r="J1105" s="9" t="s">
        <v>3347</v>
      </c>
      <c r="K1105" s="9" t="s">
        <v>3123</v>
      </c>
      <c r="L1105" s="9" t="s">
        <v>5600</v>
      </c>
      <c r="M1105" s="9">
        <v>26</v>
      </c>
      <c r="N1105" s="9">
        <v>12</v>
      </c>
      <c r="O1105" s="9" t="s">
        <v>57</v>
      </c>
      <c r="P1105" s="9" t="s">
        <v>58</v>
      </c>
      <c r="Q1105" s="9">
        <v>30</v>
      </c>
      <c r="R1105" s="9">
        <v>2</v>
      </c>
      <c r="S1105" s="9">
        <v>28</v>
      </c>
      <c r="T1105" s="9">
        <v>25</v>
      </c>
      <c r="U1105" s="9">
        <v>0</v>
      </c>
      <c r="V1105" s="9" t="s">
        <v>114</v>
      </c>
      <c r="W1105" s="9">
        <v>0</v>
      </c>
      <c r="X1105" s="9">
        <v>0</v>
      </c>
      <c r="Y1105" s="9">
        <v>0</v>
      </c>
      <c r="Z1105" s="9">
        <v>0</v>
      </c>
      <c r="AA1105" s="9">
        <v>0</v>
      </c>
      <c r="AB1105" s="9">
        <v>0</v>
      </c>
      <c r="AC1105" s="9">
        <v>14</v>
      </c>
      <c r="AD1105" s="9" t="s">
        <v>0</v>
      </c>
      <c r="AE1105" s="9" t="s">
        <v>60</v>
      </c>
    </row>
    <row r="1106" spans="1:31" ht="25.5" x14ac:dyDescent="0.2">
      <c r="A1106" s="6" t="str">
        <f>HYPERLINK("http://www.patentics.cn/invokexml.do?sx=showpatent_cn&amp;sf=ShowPatent&amp;spn=CN102333265&amp;sx=showpatent_cn&amp;sv=060838d8b130a692fa5de2679c717446","CN102333265")</f>
        <v>CN102333265</v>
      </c>
      <c r="B1106" s="7" t="s">
        <v>5601</v>
      </c>
      <c r="C1106" s="7" t="s">
        <v>5602</v>
      </c>
      <c r="D1106" s="7" t="s">
        <v>1054</v>
      </c>
      <c r="E1106" s="7" t="s">
        <v>1054</v>
      </c>
      <c r="F1106" s="7" t="s">
        <v>5603</v>
      </c>
      <c r="G1106" s="7" t="s">
        <v>5604</v>
      </c>
      <c r="H1106" s="7" t="s">
        <v>5605</v>
      </c>
      <c r="I1106" s="7" t="s">
        <v>5605</v>
      </c>
      <c r="J1106" s="7" t="s">
        <v>2337</v>
      </c>
      <c r="K1106" s="7" t="s">
        <v>1464</v>
      </c>
      <c r="L1106" s="7" t="s">
        <v>1465</v>
      </c>
      <c r="M1106" s="7">
        <v>4</v>
      </c>
      <c r="N1106" s="7">
        <v>20</v>
      </c>
      <c r="O1106" s="7" t="s">
        <v>42</v>
      </c>
      <c r="P1106" s="7" t="s">
        <v>43</v>
      </c>
      <c r="Q1106" s="7">
        <v>5</v>
      </c>
      <c r="R1106" s="7">
        <v>0</v>
      </c>
      <c r="S1106" s="7">
        <v>5</v>
      </c>
      <c r="T1106" s="7">
        <v>3</v>
      </c>
      <c r="U1106" s="7">
        <v>3</v>
      </c>
      <c r="V1106" s="7" t="s">
        <v>5606</v>
      </c>
      <c r="W1106" s="7">
        <v>0</v>
      </c>
      <c r="X1106" s="7">
        <v>3</v>
      </c>
      <c r="Y1106" s="7">
        <v>2</v>
      </c>
      <c r="Z1106" s="7">
        <v>2</v>
      </c>
      <c r="AA1106" s="7">
        <v>1</v>
      </c>
      <c r="AB1106" s="7">
        <v>1</v>
      </c>
      <c r="AC1106" s="7" t="s">
        <v>0</v>
      </c>
      <c r="AD1106" s="7">
        <v>1</v>
      </c>
      <c r="AE1106" s="7" t="s">
        <v>60</v>
      </c>
    </row>
    <row r="1107" spans="1:31" ht="89.25" x14ac:dyDescent="0.2">
      <c r="A1107" s="8" t="str">
        <f>HYPERLINK("http://www.patentics.cn/invokexml.do?sx=showpatent_cn&amp;sf=ShowPatent&amp;spn=US9685163&amp;sx=showpatent_cn&amp;sv=b4b7a49f9615380d4629cea01ce19ce3","US9685163")</f>
        <v>US9685163</v>
      </c>
      <c r="B1107" s="9" t="s">
        <v>5607</v>
      </c>
      <c r="C1107" s="9" t="s">
        <v>5608</v>
      </c>
      <c r="D1107" s="9" t="s">
        <v>48</v>
      </c>
      <c r="E1107" s="9" t="s">
        <v>49</v>
      </c>
      <c r="F1107" s="9" t="s">
        <v>5609</v>
      </c>
      <c r="G1107" s="9" t="s">
        <v>5610</v>
      </c>
      <c r="H1107" s="9" t="s">
        <v>5611</v>
      </c>
      <c r="I1107" s="9" t="s">
        <v>5612</v>
      </c>
      <c r="J1107" s="9" t="s">
        <v>1307</v>
      </c>
      <c r="K1107" s="9" t="s">
        <v>885</v>
      </c>
      <c r="L1107" s="9" t="s">
        <v>4823</v>
      </c>
      <c r="M1107" s="9">
        <v>60</v>
      </c>
      <c r="N1107" s="9">
        <v>14</v>
      </c>
      <c r="O1107" s="9" t="s">
        <v>57</v>
      </c>
      <c r="P1107" s="9" t="s">
        <v>58</v>
      </c>
      <c r="Q1107" s="9">
        <v>23</v>
      </c>
      <c r="R1107" s="9">
        <v>2</v>
      </c>
      <c r="S1107" s="9">
        <v>21</v>
      </c>
      <c r="T1107" s="9">
        <v>10</v>
      </c>
      <c r="U1107" s="9">
        <v>0</v>
      </c>
      <c r="V1107" s="9" t="s">
        <v>114</v>
      </c>
      <c r="W1107" s="9">
        <v>0</v>
      </c>
      <c r="X1107" s="9">
        <v>0</v>
      </c>
      <c r="Y1107" s="9">
        <v>0</v>
      </c>
      <c r="Z1107" s="9">
        <v>0</v>
      </c>
      <c r="AA1107" s="9">
        <v>15</v>
      </c>
      <c r="AB1107" s="9">
        <v>7</v>
      </c>
      <c r="AC1107" s="9">
        <v>14</v>
      </c>
      <c r="AD1107" s="9" t="s">
        <v>0</v>
      </c>
      <c r="AE1107" s="9" t="s">
        <v>60</v>
      </c>
    </row>
    <row r="1108" spans="1:31" ht="25.5" x14ac:dyDescent="0.2">
      <c r="A1108" s="6" t="str">
        <f>HYPERLINK("http://www.patentics.cn/invokexml.do?sx=showpatent_cn&amp;sf=ShowPatent&amp;spn=CN102314683&amp;sx=showpatent_cn&amp;sv=dccc55bcc24520c11d13d80712b812a5","CN102314683")</f>
        <v>CN102314683</v>
      </c>
      <c r="B1108" s="7" t="s">
        <v>5613</v>
      </c>
      <c r="C1108" s="7" t="s">
        <v>5614</v>
      </c>
      <c r="D1108" s="7" t="s">
        <v>1383</v>
      </c>
      <c r="E1108" s="7" t="s">
        <v>1383</v>
      </c>
      <c r="F1108" s="7" t="s">
        <v>5615</v>
      </c>
      <c r="G1108" s="7" t="s">
        <v>1730</v>
      </c>
      <c r="H1108" s="7" t="s">
        <v>5616</v>
      </c>
      <c r="I1108" s="7" t="s">
        <v>5616</v>
      </c>
      <c r="J1108" s="7" t="s">
        <v>2027</v>
      </c>
      <c r="K1108" s="7" t="s">
        <v>2163</v>
      </c>
      <c r="L1108" s="7" t="s">
        <v>3162</v>
      </c>
      <c r="M1108" s="7">
        <v>12</v>
      </c>
      <c r="N1108" s="7">
        <v>20</v>
      </c>
      <c r="O1108" s="7" t="s">
        <v>42</v>
      </c>
      <c r="P1108" s="7" t="s">
        <v>43</v>
      </c>
      <c r="Q1108" s="7">
        <v>2</v>
      </c>
      <c r="R1108" s="7">
        <v>0</v>
      </c>
      <c r="S1108" s="7">
        <v>2</v>
      </c>
      <c r="T1108" s="7">
        <v>2</v>
      </c>
      <c r="U1108" s="7">
        <v>15</v>
      </c>
      <c r="V1108" s="7" t="s">
        <v>5617</v>
      </c>
      <c r="W1108" s="7">
        <v>5</v>
      </c>
      <c r="X1108" s="7">
        <v>10</v>
      </c>
      <c r="Y1108" s="7">
        <v>8</v>
      </c>
      <c r="Z1108" s="7">
        <v>2</v>
      </c>
      <c r="AA1108" s="7">
        <v>1</v>
      </c>
      <c r="AB1108" s="7">
        <v>1</v>
      </c>
      <c r="AC1108" s="7" t="s">
        <v>0</v>
      </c>
      <c r="AD1108" s="7">
        <v>1</v>
      </c>
      <c r="AE1108" s="7" t="s">
        <v>60</v>
      </c>
    </row>
    <row r="1109" spans="1:31" ht="25.5" x14ac:dyDescent="0.2">
      <c r="A1109" s="8" t="str">
        <f>HYPERLINK("http://www.patentics.cn/invokexml.do?sx=showpatent_cn&amp;sf=ShowPatent&amp;spn=CN104798370B&amp;sx=showpatent_cn&amp;sv=c0767d74c63dc15a637e7f0735d92a23","CN104798370B")</f>
        <v>CN104798370B</v>
      </c>
      <c r="B1109" s="9" t="s">
        <v>5618</v>
      </c>
      <c r="C1109" s="9" t="s">
        <v>5619</v>
      </c>
      <c r="D1109" s="9" t="s">
        <v>301</v>
      </c>
      <c r="E1109" s="9" t="s">
        <v>301</v>
      </c>
      <c r="F1109" s="9" t="s">
        <v>5620</v>
      </c>
      <c r="G1109" s="9" t="s">
        <v>5620</v>
      </c>
      <c r="H1109" s="9" t="s">
        <v>4294</v>
      </c>
      <c r="I1109" s="9" t="s">
        <v>5621</v>
      </c>
      <c r="J1109" s="9" t="s">
        <v>5622</v>
      </c>
      <c r="K1109" s="9" t="s">
        <v>714</v>
      </c>
      <c r="L1109" s="9" t="s">
        <v>3644</v>
      </c>
      <c r="M1109" s="9">
        <v>18</v>
      </c>
      <c r="N1109" s="9">
        <v>9</v>
      </c>
      <c r="O1109" s="9" t="s">
        <v>57</v>
      </c>
      <c r="P1109" s="9" t="s">
        <v>58</v>
      </c>
      <c r="Q1109" s="9">
        <v>5</v>
      </c>
      <c r="R1109" s="9">
        <v>0</v>
      </c>
      <c r="S1109" s="9">
        <v>5</v>
      </c>
      <c r="T1109" s="9">
        <v>4</v>
      </c>
      <c r="U1109" s="9">
        <v>0</v>
      </c>
      <c r="V1109" s="9" t="s">
        <v>114</v>
      </c>
      <c r="W1109" s="9">
        <v>0</v>
      </c>
      <c r="X1109" s="9">
        <v>0</v>
      </c>
      <c r="Y1109" s="9">
        <v>0</v>
      </c>
      <c r="Z1109" s="9">
        <v>0</v>
      </c>
      <c r="AA1109" s="9">
        <v>0</v>
      </c>
      <c r="AB1109" s="9">
        <v>0</v>
      </c>
      <c r="AC1109" s="9">
        <v>14</v>
      </c>
      <c r="AD1109" s="9" t="s">
        <v>0</v>
      </c>
      <c r="AE1109" s="9" t="s">
        <v>60</v>
      </c>
    </row>
    <row r="1110" spans="1:31" ht="165.75" x14ac:dyDescent="0.2">
      <c r="A1110" s="6" t="str">
        <f>HYPERLINK("http://www.patentics.cn/invokexml.do?sx=showpatent_cn&amp;sf=ShowPatent&amp;spn=CN102300274&amp;sx=showpatent_cn&amp;sv=d114b9a32bbf0885774b5bc5a1e30c52","CN102300274")</f>
        <v>CN102300274</v>
      </c>
      <c r="B1110" s="7" t="s">
        <v>5623</v>
      </c>
      <c r="C1110" s="7" t="s">
        <v>5624</v>
      </c>
      <c r="D1110" s="7" t="s">
        <v>1097</v>
      </c>
      <c r="E1110" s="7" t="s">
        <v>1097</v>
      </c>
      <c r="F1110" s="7" t="s">
        <v>5625</v>
      </c>
      <c r="G1110" s="7" t="s">
        <v>5626</v>
      </c>
      <c r="H1110" s="7" t="s">
        <v>0</v>
      </c>
      <c r="I1110" s="7" t="s">
        <v>5627</v>
      </c>
      <c r="J1110" s="7" t="s">
        <v>5628</v>
      </c>
      <c r="K1110" s="7" t="s">
        <v>55</v>
      </c>
      <c r="L1110" s="7" t="s">
        <v>5629</v>
      </c>
      <c r="M1110" s="7">
        <v>5</v>
      </c>
      <c r="N1110" s="7">
        <v>7</v>
      </c>
      <c r="O1110" s="7" t="s">
        <v>42</v>
      </c>
      <c r="P1110" s="7" t="s">
        <v>43</v>
      </c>
      <c r="Q1110" s="7">
        <v>0</v>
      </c>
      <c r="R1110" s="7">
        <v>0</v>
      </c>
      <c r="S1110" s="7">
        <v>0</v>
      </c>
      <c r="T1110" s="7">
        <v>0</v>
      </c>
      <c r="U1110" s="7">
        <v>11</v>
      </c>
      <c r="V1110" s="7" t="s">
        <v>5630</v>
      </c>
      <c r="W1110" s="7">
        <v>0</v>
      </c>
      <c r="X1110" s="7">
        <v>11</v>
      </c>
      <c r="Y1110" s="7">
        <v>7</v>
      </c>
      <c r="Z1110" s="7">
        <v>2</v>
      </c>
      <c r="AA1110" s="7">
        <v>0</v>
      </c>
      <c r="AB1110" s="7">
        <v>0</v>
      </c>
      <c r="AC1110" s="7" t="s">
        <v>0</v>
      </c>
      <c r="AD1110" s="7">
        <v>1</v>
      </c>
      <c r="AE1110" s="7" t="s">
        <v>45</v>
      </c>
    </row>
    <row r="1111" spans="1:31" ht="38.25" x14ac:dyDescent="0.2">
      <c r="A1111" s="8" t="str">
        <f>HYPERLINK("http://www.patentics.cn/invokexml.do?sx=showpatent_cn&amp;sf=ShowPatent&amp;spn=WO2016155543&amp;sx=showpatent_cn&amp;sv=e3acdd30d14ee7b36737378f9c2db16c","WO2016155543")</f>
        <v>WO2016155543</v>
      </c>
      <c r="B1111" s="9" t="s">
        <v>5631</v>
      </c>
      <c r="C1111" s="9" t="s">
        <v>5632</v>
      </c>
      <c r="D1111" s="9" t="s">
        <v>117</v>
      </c>
      <c r="E1111" s="9" t="s">
        <v>49</v>
      </c>
      <c r="F1111" s="9" t="s">
        <v>5633</v>
      </c>
      <c r="G1111" s="9" t="s">
        <v>5634</v>
      </c>
      <c r="H1111" s="9" t="s">
        <v>0</v>
      </c>
      <c r="I1111" s="9" t="s">
        <v>798</v>
      </c>
      <c r="J1111" s="9" t="s">
        <v>5635</v>
      </c>
      <c r="K1111" s="9" t="s">
        <v>55</v>
      </c>
      <c r="L1111" s="9" t="s">
        <v>5629</v>
      </c>
      <c r="M1111" s="9">
        <v>20</v>
      </c>
      <c r="N1111" s="9">
        <v>0</v>
      </c>
      <c r="O1111" s="9" t="s">
        <v>850</v>
      </c>
      <c r="P1111" s="9" t="s">
        <v>1932</v>
      </c>
      <c r="Q1111" s="9">
        <v>5</v>
      </c>
      <c r="R1111" s="9">
        <v>0</v>
      </c>
      <c r="S1111" s="9">
        <v>5</v>
      </c>
      <c r="T1111" s="9">
        <v>4</v>
      </c>
      <c r="U1111" s="9">
        <v>0</v>
      </c>
      <c r="V1111" s="9" t="s">
        <v>114</v>
      </c>
      <c r="W1111" s="9">
        <v>0</v>
      </c>
      <c r="X1111" s="9">
        <v>0</v>
      </c>
      <c r="Y1111" s="9">
        <v>0</v>
      </c>
      <c r="Z1111" s="9">
        <v>0</v>
      </c>
      <c r="AA1111" s="9">
        <v>0</v>
      </c>
      <c r="AB1111" s="9">
        <v>0</v>
      </c>
      <c r="AC1111" s="9">
        <v>14</v>
      </c>
      <c r="AD1111" s="9" t="s">
        <v>0</v>
      </c>
      <c r="AE1111" s="9" t="s">
        <v>0</v>
      </c>
    </row>
    <row r="1112" spans="1:31" ht="51" x14ac:dyDescent="0.2">
      <c r="A1112" s="6" t="str">
        <f>HYPERLINK("http://www.patentics.cn/invokexml.do?sx=showpatent_cn&amp;sf=ShowPatent&amp;spn=CN102288937&amp;sx=showpatent_cn&amp;sv=cfe86ddc012dc8b0fa344f1188ea0da8","CN102288937")</f>
        <v>CN102288937</v>
      </c>
      <c r="B1112" s="7" t="s">
        <v>5636</v>
      </c>
      <c r="C1112" s="7" t="s">
        <v>5637</v>
      </c>
      <c r="D1112" s="7" t="s">
        <v>923</v>
      </c>
      <c r="E1112" s="7" t="s">
        <v>923</v>
      </c>
      <c r="F1112" s="7" t="s">
        <v>5638</v>
      </c>
      <c r="G1112" s="7" t="s">
        <v>5639</v>
      </c>
      <c r="H1112" s="7" t="s">
        <v>834</v>
      </c>
      <c r="I1112" s="7" t="s">
        <v>834</v>
      </c>
      <c r="J1112" s="7" t="s">
        <v>1716</v>
      </c>
      <c r="K1112" s="7" t="s">
        <v>1142</v>
      </c>
      <c r="L1112" s="7" t="s">
        <v>5640</v>
      </c>
      <c r="M1112" s="7">
        <v>1</v>
      </c>
      <c r="N1112" s="7">
        <v>19</v>
      </c>
      <c r="O1112" s="7" t="s">
        <v>42</v>
      </c>
      <c r="P1112" s="7" t="s">
        <v>43</v>
      </c>
      <c r="Q1112" s="7">
        <v>2</v>
      </c>
      <c r="R1112" s="7">
        <v>0</v>
      </c>
      <c r="S1112" s="7">
        <v>2</v>
      </c>
      <c r="T1112" s="7">
        <v>2</v>
      </c>
      <c r="U1112" s="7">
        <v>2</v>
      </c>
      <c r="V1112" s="7" t="s">
        <v>559</v>
      </c>
      <c r="W1112" s="7">
        <v>0</v>
      </c>
      <c r="X1112" s="7">
        <v>2</v>
      </c>
      <c r="Y1112" s="7">
        <v>2</v>
      </c>
      <c r="Z1112" s="7">
        <v>1</v>
      </c>
      <c r="AA1112" s="7">
        <v>1</v>
      </c>
      <c r="AB1112" s="7">
        <v>1</v>
      </c>
      <c r="AC1112" s="7" t="s">
        <v>0</v>
      </c>
      <c r="AD1112" s="7">
        <v>1</v>
      </c>
      <c r="AE1112" s="7" t="s">
        <v>60</v>
      </c>
    </row>
    <row r="1113" spans="1:31" ht="89.25" x14ac:dyDescent="0.2">
      <c r="A1113" s="8" t="str">
        <f>HYPERLINK("http://www.patentics.cn/invokexml.do?sx=showpatent_cn&amp;sf=ShowPatent&amp;spn=CN105164546B&amp;sx=showpatent_cn&amp;sv=b3a72238469855e0da6c0aa77a0a5f85","CN105164546B")</f>
        <v>CN105164546B</v>
      </c>
      <c r="B1113" s="9" t="s">
        <v>5641</v>
      </c>
      <c r="C1113" s="9" t="s">
        <v>5642</v>
      </c>
      <c r="D1113" s="9" t="s">
        <v>301</v>
      </c>
      <c r="E1113" s="9" t="s">
        <v>301</v>
      </c>
      <c r="F1113" s="9" t="s">
        <v>5643</v>
      </c>
      <c r="G1113" s="9" t="s">
        <v>5644</v>
      </c>
      <c r="H1113" s="9" t="s">
        <v>5645</v>
      </c>
      <c r="I1113" s="9" t="s">
        <v>3708</v>
      </c>
      <c r="J1113" s="9" t="s">
        <v>298</v>
      </c>
      <c r="K1113" s="9" t="s">
        <v>1142</v>
      </c>
      <c r="L1113" s="9" t="s">
        <v>1143</v>
      </c>
      <c r="M1113" s="9">
        <v>60</v>
      </c>
      <c r="N1113" s="9">
        <v>15</v>
      </c>
      <c r="O1113" s="9" t="s">
        <v>57</v>
      </c>
      <c r="P1113" s="9" t="s">
        <v>58</v>
      </c>
      <c r="Q1113" s="9">
        <v>5</v>
      </c>
      <c r="R1113" s="9">
        <v>1</v>
      </c>
      <c r="S1113" s="9">
        <v>4</v>
      </c>
      <c r="T1113" s="9">
        <v>5</v>
      </c>
      <c r="U1113" s="9">
        <v>0</v>
      </c>
      <c r="V1113" s="9" t="s">
        <v>114</v>
      </c>
      <c r="W1113" s="9">
        <v>0</v>
      </c>
      <c r="X1113" s="9">
        <v>0</v>
      </c>
      <c r="Y1113" s="9">
        <v>0</v>
      </c>
      <c r="Z1113" s="9">
        <v>0</v>
      </c>
      <c r="AA1113" s="9">
        <v>0</v>
      </c>
      <c r="AB1113" s="9">
        <v>0</v>
      </c>
      <c r="AC1113" s="9">
        <v>14</v>
      </c>
      <c r="AD1113" s="9" t="s">
        <v>0</v>
      </c>
      <c r="AE1113" s="9" t="s">
        <v>60</v>
      </c>
    </row>
    <row r="1114" spans="1:31" ht="63.75" x14ac:dyDescent="0.2">
      <c r="A1114" s="6" t="str">
        <f>HYPERLINK("http://www.patentics.cn/invokexml.do?sx=showpatent_cn&amp;sf=ShowPatent&amp;spn=CN102291127&amp;sx=showpatent_cn&amp;sv=f89fcf2b27fd5e0c6326a0ffc9c60455","CN102291127")</f>
        <v>CN102291127</v>
      </c>
      <c r="B1114" s="7" t="s">
        <v>5646</v>
      </c>
      <c r="C1114" s="7" t="s">
        <v>5647</v>
      </c>
      <c r="D1114" s="7" t="s">
        <v>1420</v>
      </c>
      <c r="E1114" s="7" t="s">
        <v>1420</v>
      </c>
      <c r="F1114" s="7" t="s">
        <v>5648</v>
      </c>
      <c r="G1114" s="7" t="s">
        <v>5649</v>
      </c>
      <c r="H1114" s="7" t="s">
        <v>5584</v>
      </c>
      <c r="I1114" s="7" t="s">
        <v>5584</v>
      </c>
      <c r="J1114" s="7" t="s">
        <v>1716</v>
      </c>
      <c r="K1114" s="7" t="s">
        <v>2207</v>
      </c>
      <c r="L1114" s="7" t="s">
        <v>5650</v>
      </c>
      <c r="M1114" s="7">
        <v>10</v>
      </c>
      <c r="N1114" s="7">
        <v>28</v>
      </c>
      <c r="O1114" s="7" t="s">
        <v>42</v>
      </c>
      <c r="P1114" s="7" t="s">
        <v>43</v>
      </c>
      <c r="Q1114" s="7">
        <v>1</v>
      </c>
      <c r="R1114" s="7">
        <v>0</v>
      </c>
      <c r="S1114" s="7">
        <v>1</v>
      </c>
      <c r="T1114" s="7">
        <v>1</v>
      </c>
      <c r="U1114" s="7">
        <v>3</v>
      </c>
      <c r="V1114" s="7" t="s">
        <v>5651</v>
      </c>
      <c r="W1114" s="7">
        <v>0</v>
      </c>
      <c r="X1114" s="7">
        <v>3</v>
      </c>
      <c r="Y1114" s="7">
        <v>2</v>
      </c>
      <c r="Z1114" s="7">
        <v>2</v>
      </c>
      <c r="AA1114" s="7">
        <v>1</v>
      </c>
      <c r="AB1114" s="7">
        <v>1</v>
      </c>
      <c r="AC1114" s="7" t="s">
        <v>0</v>
      </c>
      <c r="AD1114" s="7">
        <v>1</v>
      </c>
      <c r="AE1114" s="7" t="s">
        <v>60</v>
      </c>
    </row>
    <row r="1115" spans="1:31" ht="63.75" x14ac:dyDescent="0.2">
      <c r="A1115" s="8" t="str">
        <f>HYPERLINK("http://www.patentics.cn/invokexml.do?sx=showpatent_cn&amp;sf=ShowPatent&amp;spn=WO2015067172&amp;sx=showpatent_cn&amp;sv=eddd5cfe9d281fc4174667d9ccc1e45e","WO2015067172")</f>
        <v>WO2015067172</v>
      </c>
      <c r="B1115" s="9" t="s">
        <v>5652</v>
      </c>
      <c r="C1115" s="9" t="s">
        <v>5653</v>
      </c>
      <c r="D1115" s="9" t="s">
        <v>117</v>
      </c>
      <c r="E1115" s="9" t="s">
        <v>49</v>
      </c>
      <c r="F1115" s="9" t="s">
        <v>5654</v>
      </c>
      <c r="G1115" s="9" t="s">
        <v>5655</v>
      </c>
      <c r="H1115" s="9" t="s">
        <v>5656</v>
      </c>
      <c r="I1115" s="9" t="s">
        <v>2399</v>
      </c>
      <c r="J1115" s="9" t="s">
        <v>5657</v>
      </c>
      <c r="K1115" s="9" t="s">
        <v>368</v>
      </c>
      <c r="L1115" s="9" t="s">
        <v>5658</v>
      </c>
      <c r="M1115" s="9">
        <v>22</v>
      </c>
      <c r="N1115" s="9">
        <v>0</v>
      </c>
      <c r="O1115" s="9" t="s">
        <v>850</v>
      </c>
      <c r="P1115" s="9" t="s">
        <v>43</v>
      </c>
      <c r="Q1115" s="9">
        <v>5</v>
      </c>
      <c r="R1115" s="9">
        <v>0</v>
      </c>
      <c r="S1115" s="9">
        <v>5</v>
      </c>
      <c r="T1115" s="9">
        <v>5</v>
      </c>
      <c r="U1115" s="9">
        <v>0</v>
      </c>
      <c r="V1115" s="9" t="s">
        <v>114</v>
      </c>
      <c r="W1115" s="9">
        <v>0</v>
      </c>
      <c r="X1115" s="9">
        <v>0</v>
      </c>
      <c r="Y1115" s="9">
        <v>0</v>
      </c>
      <c r="Z1115" s="9">
        <v>0</v>
      </c>
      <c r="AA1115" s="9">
        <v>3</v>
      </c>
      <c r="AB1115" s="9">
        <v>3</v>
      </c>
      <c r="AC1115" s="9">
        <v>14</v>
      </c>
      <c r="AD1115" s="9" t="s">
        <v>0</v>
      </c>
      <c r="AE1115" s="9" t="s">
        <v>0</v>
      </c>
    </row>
    <row r="1116" spans="1:31" ht="51" x14ac:dyDescent="0.2">
      <c r="A1116" s="6" t="str">
        <f>HYPERLINK("http://www.patentics.cn/invokexml.do?sx=showpatent_cn&amp;sf=ShowPatent&amp;spn=CN102279612&amp;sx=showpatent_cn&amp;sv=32a4366b6dd5d428a091484f849b29c1","CN102279612")</f>
        <v>CN102279612</v>
      </c>
      <c r="B1116" s="7" t="s">
        <v>5659</v>
      </c>
      <c r="C1116" s="7" t="s">
        <v>5660</v>
      </c>
      <c r="D1116" s="7" t="s">
        <v>35</v>
      </c>
      <c r="E1116" s="7" t="s">
        <v>35</v>
      </c>
      <c r="F1116" s="7" t="s">
        <v>5661</v>
      </c>
      <c r="G1116" s="7" t="s">
        <v>5662</v>
      </c>
      <c r="H1116" s="7" t="s">
        <v>0</v>
      </c>
      <c r="I1116" s="7" t="s">
        <v>1865</v>
      </c>
      <c r="J1116" s="7" t="s">
        <v>3378</v>
      </c>
      <c r="K1116" s="7" t="s">
        <v>3117</v>
      </c>
      <c r="L1116" s="7" t="s">
        <v>5663</v>
      </c>
      <c r="M1116" s="7">
        <v>3</v>
      </c>
      <c r="N1116" s="7">
        <v>25</v>
      </c>
      <c r="O1116" s="7" t="s">
        <v>42</v>
      </c>
      <c r="P1116" s="7" t="s">
        <v>43</v>
      </c>
      <c r="Q1116" s="7">
        <v>0</v>
      </c>
      <c r="R1116" s="7">
        <v>0</v>
      </c>
      <c r="S1116" s="7">
        <v>0</v>
      </c>
      <c r="T1116" s="7">
        <v>0</v>
      </c>
      <c r="U1116" s="7">
        <v>15</v>
      </c>
      <c r="V1116" s="7" t="s">
        <v>5664</v>
      </c>
      <c r="W1116" s="7">
        <v>6</v>
      </c>
      <c r="X1116" s="7">
        <v>9</v>
      </c>
      <c r="Y1116" s="7">
        <v>7</v>
      </c>
      <c r="Z1116" s="7">
        <v>2</v>
      </c>
      <c r="AA1116" s="7">
        <v>0</v>
      </c>
      <c r="AB1116" s="7">
        <v>0</v>
      </c>
      <c r="AC1116" s="7" t="s">
        <v>0</v>
      </c>
      <c r="AD1116" s="7">
        <v>1</v>
      </c>
      <c r="AE1116" s="7" t="s">
        <v>1390</v>
      </c>
    </row>
    <row r="1117" spans="1:31" ht="38.25" x14ac:dyDescent="0.2">
      <c r="A1117" s="8" t="str">
        <f>HYPERLINK("http://www.patentics.cn/invokexml.do?sx=showpatent_cn&amp;sf=ShowPatent&amp;spn=CN104756032B&amp;sx=showpatent_cn&amp;sv=4f2592e4cd27c42ed97214b92be1ecf5","CN104756032B")</f>
        <v>CN104756032B</v>
      </c>
      <c r="B1117" s="9" t="s">
        <v>5665</v>
      </c>
      <c r="C1117" s="9" t="s">
        <v>5666</v>
      </c>
      <c r="D1117" s="9" t="s">
        <v>301</v>
      </c>
      <c r="E1117" s="9" t="s">
        <v>301</v>
      </c>
      <c r="F1117" s="9" t="s">
        <v>5667</v>
      </c>
      <c r="G1117" s="9" t="s">
        <v>5668</v>
      </c>
      <c r="H1117" s="9" t="s">
        <v>5669</v>
      </c>
      <c r="I1117" s="9" t="s">
        <v>961</v>
      </c>
      <c r="J1117" s="9" t="s">
        <v>3832</v>
      </c>
      <c r="K1117" s="9" t="s">
        <v>3117</v>
      </c>
      <c r="L1117" s="9" t="s">
        <v>3129</v>
      </c>
      <c r="M1117" s="9">
        <v>11</v>
      </c>
      <c r="N1117" s="9">
        <v>30</v>
      </c>
      <c r="O1117" s="9" t="s">
        <v>57</v>
      </c>
      <c r="P1117" s="9" t="s">
        <v>58</v>
      </c>
      <c r="Q1117" s="9">
        <v>7</v>
      </c>
      <c r="R1117" s="9">
        <v>1</v>
      </c>
      <c r="S1117" s="9">
        <v>6</v>
      </c>
      <c r="T1117" s="9">
        <v>7</v>
      </c>
      <c r="U1117" s="9">
        <v>0</v>
      </c>
      <c r="V1117" s="9" t="s">
        <v>114</v>
      </c>
      <c r="W1117" s="9">
        <v>0</v>
      </c>
      <c r="X1117" s="9">
        <v>0</v>
      </c>
      <c r="Y1117" s="9">
        <v>0</v>
      </c>
      <c r="Z1117" s="9">
        <v>0</v>
      </c>
      <c r="AA1117" s="9">
        <v>6</v>
      </c>
      <c r="AB1117" s="9">
        <v>5</v>
      </c>
      <c r="AC1117" s="9">
        <v>14</v>
      </c>
      <c r="AD1117" s="9" t="s">
        <v>0</v>
      </c>
      <c r="AE1117" s="9" t="s">
        <v>60</v>
      </c>
    </row>
    <row r="1118" spans="1:31" ht="165.75" x14ac:dyDescent="0.2">
      <c r="A1118" s="6" t="str">
        <f>HYPERLINK("http://www.patentics.cn/invokexml.do?sx=showpatent_cn&amp;sf=ShowPatent&amp;spn=CN102271374&amp;sx=showpatent_cn&amp;sv=2b743120f1bbc2d2cb87e347558ed4ee","CN102271374")</f>
        <v>CN102271374</v>
      </c>
      <c r="B1118" s="7" t="s">
        <v>5670</v>
      </c>
      <c r="C1118" s="7" t="s">
        <v>5671</v>
      </c>
      <c r="D1118" s="7" t="s">
        <v>1097</v>
      </c>
      <c r="E1118" s="7" t="s">
        <v>1097</v>
      </c>
      <c r="F1118" s="7" t="s">
        <v>5625</v>
      </c>
      <c r="G1118" s="7" t="s">
        <v>5626</v>
      </c>
      <c r="H1118" s="7" t="s">
        <v>0</v>
      </c>
      <c r="I1118" s="7" t="s">
        <v>5627</v>
      </c>
      <c r="J1118" s="7" t="s">
        <v>5672</v>
      </c>
      <c r="K1118" s="7" t="s">
        <v>55</v>
      </c>
      <c r="L1118" s="7" t="s">
        <v>5629</v>
      </c>
      <c r="M1118" s="7">
        <v>5</v>
      </c>
      <c r="N1118" s="7">
        <v>9</v>
      </c>
      <c r="O1118" s="7" t="s">
        <v>42</v>
      </c>
      <c r="P1118" s="7" t="s">
        <v>43</v>
      </c>
      <c r="Q1118" s="7">
        <v>0</v>
      </c>
      <c r="R1118" s="7">
        <v>0</v>
      </c>
      <c r="S1118" s="7">
        <v>0</v>
      </c>
      <c r="T1118" s="7">
        <v>0</v>
      </c>
      <c r="U1118" s="7">
        <v>11</v>
      </c>
      <c r="V1118" s="7" t="s">
        <v>5673</v>
      </c>
      <c r="W1118" s="7">
        <v>2</v>
      </c>
      <c r="X1118" s="7">
        <v>9</v>
      </c>
      <c r="Y1118" s="7">
        <v>6</v>
      </c>
      <c r="Z1118" s="7">
        <v>3</v>
      </c>
      <c r="AA1118" s="7">
        <v>0</v>
      </c>
      <c r="AB1118" s="7">
        <v>0</v>
      </c>
      <c r="AC1118" s="7" t="s">
        <v>0</v>
      </c>
      <c r="AD1118" s="7">
        <v>1</v>
      </c>
      <c r="AE1118" s="7" t="s">
        <v>45</v>
      </c>
    </row>
    <row r="1119" spans="1:31" ht="25.5" x14ac:dyDescent="0.2">
      <c r="A1119" s="8" t="str">
        <f>HYPERLINK("http://www.patentics.cn/invokexml.do?sx=showpatent_cn&amp;sf=ShowPatent&amp;spn=WO2016154880&amp;sx=showpatent_cn&amp;sv=f6ddc4406ca9aeed2afe033a76e9c57e","WO2016154880")</f>
        <v>WO2016154880</v>
      </c>
      <c r="B1119" s="9" t="s">
        <v>5674</v>
      </c>
      <c r="C1119" s="9" t="s">
        <v>5675</v>
      </c>
      <c r="D1119" s="9" t="s">
        <v>117</v>
      </c>
      <c r="E1119" s="9" t="s">
        <v>49</v>
      </c>
      <c r="F1119" s="9" t="s">
        <v>5633</v>
      </c>
      <c r="G1119" s="9" t="s">
        <v>5634</v>
      </c>
      <c r="H1119" s="9" t="s">
        <v>0</v>
      </c>
      <c r="I1119" s="9" t="s">
        <v>2561</v>
      </c>
      <c r="J1119" s="9" t="s">
        <v>5635</v>
      </c>
      <c r="K1119" s="9" t="s">
        <v>55</v>
      </c>
      <c r="L1119" s="9" t="s">
        <v>150</v>
      </c>
      <c r="M1119" s="9">
        <v>2</v>
      </c>
      <c r="N1119" s="9">
        <v>16</v>
      </c>
      <c r="O1119" s="9" t="s">
        <v>850</v>
      </c>
      <c r="P1119" s="9" t="s">
        <v>1932</v>
      </c>
      <c r="Q1119" s="9">
        <v>4</v>
      </c>
      <c r="R1119" s="9">
        <v>0</v>
      </c>
      <c r="S1119" s="9">
        <v>4</v>
      </c>
      <c r="T1119" s="9">
        <v>3</v>
      </c>
      <c r="U1119" s="9">
        <v>0</v>
      </c>
      <c r="V1119" s="9" t="s">
        <v>114</v>
      </c>
      <c r="W1119" s="9">
        <v>0</v>
      </c>
      <c r="X1119" s="9">
        <v>0</v>
      </c>
      <c r="Y1119" s="9">
        <v>0</v>
      </c>
      <c r="Z1119" s="9">
        <v>0</v>
      </c>
      <c r="AA1119" s="9">
        <v>0</v>
      </c>
      <c r="AB1119" s="9">
        <v>0</v>
      </c>
      <c r="AC1119" s="9">
        <v>14</v>
      </c>
      <c r="AD1119" s="9" t="s">
        <v>0</v>
      </c>
      <c r="AE1119" s="9" t="s">
        <v>0</v>
      </c>
    </row>
    <row r="1120" spans="1:31" ht="38.25" x14ac:dyDescent="0.2">
      <c r="A1120" s="6" t="str">
        <f>HYPERLINK("http://www.patentics.cn/invokexml.do?sx=showpatent_cn&amp;sf=ShowPatent&amp;spn=CN102256125&amp;sx=showpatent_cn&amp;sv=926f2156091b2dd7f3771fb92f47c9c4","CN102256125")</f>
        <v>CN102256125</v>
      </c>
      <c r="B1120" s="7" t="s">
        <v>5676</v>
      </c>
      <c r="C1120" s="7" t="s">
        <v>5677</v>
      </c>
      <c r="D1120" s="7" t="s">
        <v>2653</v>
      </c>
      <c r="E1120" s="7" t="s">
        <v>2653</v>
      </c>
      <c r="F1120" s="7" t="s">
        <v>5678</v>
      </c>
      <c r="G1120" s="7" t="s">
        <v>5495</v>
      </c>
      <c r="H1120" s="7" t="s">
        <v>5679</v>
      </c>
      <c r="I1120" s="7" t="s">
        <v>5679</v>
      </c>
      <c r="J1120" s="7" t="s">
        <v>3547</v>
      </c>
      <c r="K1120" s="7" t="s">
        <v>714</v>
      </c>
      <c r="L1120" s="7" t="s">
        <v>1346</v>
      </c>
      <c r="M1120" s="7">
        <v>5</v>
      </c>
      <c r="N1120" s="7">
        <v>20</v>
      </c>
      <c r="O1120" s="7" t="s">
        <v>42</v>
      </c>
      <c r="P1120" s="7" t="s">
        <v>43</v>
      </c>
      <c r="Q1120" s="7">
        <v>3</v>
      </c>
      <c r="R1120" s="7">
        <v>0</v>
      </c>
      <c r="S1120" s="7">
        <v>3</v>
      </c>
      <c r="T1120" s="7">
        <v>3</v>
      </c>
      <c r="U1120" s="7">
        <v>6</v>
      </c>
      <c r="V1120" s="7" t="s">
        <v>5680</v>
      </c>
      <c r="W1120" s="7">
        <v>2</v>
      </c>
      <c r="X1120" s="7">
        <v>4</v>
      </c>
      <c r="Y1120" s="7">
        <v>3</v>
      </c>
      <c r="Z1120" s="7">
        <v>3</v>
      </c>
      <c r="AA1120" s="7">
        <v>1</v>
      </c>
      <c r="AB1120" s="7">
        <v>1</v>
      </c>
      <c r="AC1120" s="7" t="s">
        <v>0</v>
      </c>
      <c r="AD1120" s="7">
        <v>1</v>
      </c>
      <c r="AE1120" s="7" t="s">
        <v>60</v>
      </c>
    </row>
    <row r="1121" spans="1:31" ht="76.5" x14ac:dyDescent="0.2">
      <c r="A1121" s="8" t="str">
        <f>HYPERLINK("http://www.patentics.cn/invokexml.do?sx=showpatent_cn&amp;sf=ShowPatent&amp;spn=CN104054341B&amp;sx=showpatent_cn&amp;sv=47fbb8e250b635d5c379b1645b340dba","CN104054341B")</f>
        <v>CN104054341B</v>
      </c>
      <c r="B1121" s="9" t="s">
        <v>5681</v>
      </c>
      <c r="C1121" s="9" t="s">
        <v>5682</v>
      </c>
      <c r="D1121" s="9" t="s">
        <v>301</v>
      </c>
      <c r="E1121" s="9" t="s">
        <v>301</v>
      </c>
      <c r="F1121" s="9" t="s">
        <v>5683</v>
      </c>
      <c r="G1121" s="9" t="s">
        <v>5684</v>
      </c>
      <c r="H1121" s="9" t="s">
        <v>2192</v>
      </c>
      <c r="I1121" s="9" t="s">
        <v>5477</v>
      </c>
      <c r="J1121" s="9" t="s">
        <v>5685</v>
      </c>
      <c r="K1121" s="9" t="s">
        <v>714</v>
      </c>
      <c r="L1121" s="9" t="s">
        <v>2898</v>
      </c>
      <c r="M1121" s="9">
        <v>41</v>
      </c>
      <c r="N1121" s="9">
        <v>31</v>
      </c>
      <c r="O1121" s="9" t="s">
        <v>57</v>
      </c>
      <c r="P1121" s="9" t="s">
        <v>58</v>
      </c>
      <c r="Q1121" s="9">
        <v>5</v>
      </c>
      <c r="R1121" s="9">
        <v>1</v>
      </c>
      <c r="S1121" s="9">
        <v>4</v>
      </c>
      <c r="T1121" s="9">
        <v>4</v>
      </c>
      <c r="U1121" s="9">
        <v>0</v>
      </c>
      <c r="V1121" s="9" t="s">
        <v>114</v>
      </c>
      <c r="W1121" s="9">
        <v>0</v>
      </c>
      <c r="X1121" s="9">
        <v>0</v>
      </c>
      <c r="Y1121" s="9">
        <v>0</v>
      </c>
      <c r="Z1121" s="9">
        <v>0</v>
      </c>
      <c r="AA1121" s="9">
        <v>0</v>
      </c>
      <c r="AB1121" s="9">
        <v>0</v>
      </c>
      <c r="AC1121" s="9">
        <v>14</v>
      </c>
      <c r="AD1121" s="9" t="s">
        <v>0</v>
      </c>
      <c r="AE1121" s="9" t="s">
        <v>60</v>
      </c>
    </row>
    <row r="1122" spans="1:31" ht="25.5" x14ac:dyDescent="0.2">
      <c r="A1122" s="6" t="str">
        <f>HYPERLINK("http://www.patentics.cn/invokexml.do?sx=showpatent_cn&amp;sf=ShowPatent&amp;spn=CN102238390&amp;sx=showpatent_cn&amp;sv=71b814f42c6b0c9d85199daced87f38f","CN102238390")</f>
        <v>CN102238390</v>
      </c>
      <c r="B1122" s="7" t="s">
        <v>5686</v>
      </c>
      <c r="C1122" s="7" t="s">
        <v>5687</v>
      </c>
      <c r="D1122" s="7" t="s">
        <v>5688</v>
      </c>
      <c r="E1122" s="7" t="s">
        <v>5689</v>
      </c>
      <c r="F1122" s="7" t="s">
        <v>5690</v>
      </c>
      <c r="G1122" s="7" t="s">
        <v>5691</v>
      </c>
      <c r="H1122" s="7" t="s">
        <v>5692</v>
      </c>
      <c r="I1122" s="7" t="s">
        <v>5692</v>
      </c>
      <c r="J1122" s="7" t="s">
        <v>5693</v>
      </c>
      <c r="K1122" s="7" t="s">
        <v>714</v>
      </c>
      <c r="L1122" s="7" t="s">
        <v>1346</v>
      </c>
      <c r="M1122" s="7">
        <v>10</v>
      </c>
      <c r="N1122" s="7">
        <v>10</v>
      </c>
      <c r="O1122" s="7" t="s">
        <v>42</v>
      </c>
      <c r="P1122" s="7" t="s">
        <v>43</v>
      </c>
      <c r="Q1122" s="7">
        <v>6</v>
      </c>
      <c r="R1122" s="7">
        <v>0</v>
      </c>
      <c r="S1122" s="7">
        <v>6</v>
      </c>
      <c r="T1122" s="7">
        <v>6</v>
      </c>
      <c r="U1122" s="7">
        <v>1</v>
      </c>
      <c r="V1122" s="7" t="s">
        <v>70</v>
      </c>
      <c r="W1122" s="7">
        <v>0</v>
      </c>
      <c r="X1122" s="7">
        <v>1</v>
      </c>
      <c r="Y1122" s="7">
        <v>1</v>
      </c>
      <c r="Z1122" s="7">
        <v>1</v>
      </c>
      <c r="AA1122" s="7">
        <v>1</v>
      </c>
      <c r="AB1122" s="7">
        <v>1</v>
      </c>
      <c r="AC1122" s="7" t="s">
        <v>0</v>
      </c>
      <c r="AD1122" s="7">
        <v>1</v>
      </c>
      <c r="AE1122" s="7" t="s">
        <v>60</v>
      </c>
    </row>
    <row r="1123" spans="1:31" ht="38.25" x14ac:dyDescent="0.2">
      <c r="A1123" s="8" t="str">
        <f>HYPERLINK("http://www.patentics.cn/invokexml.do?sx=showpatent_cn&amp;sf=ShowPatent&amp;spn=US9648317&amp;sx=showpatent_cn&amp;sv=dc694573bc1499ecc03feeca64b1e9e1","US9648317")</f>
        <v>US9648317</v>
      </c>
      <c r="B1123" s="9" t="s">
        <v>5694</v>
      </c>
      <c r="C1123" s="9" t="s">
        <v>5695</v>
      </c>
      <c r="D1123" s="9" t="s">
        <v>48</v>
      </c>
      <c r="E1123" s="9" t="s">
        <v>49</v>
      </c>
      <c r="F1123" s="9" t="s">
        <v>5696</v>
      </c>
      <c r="G1123" s="9" t="s">
        <v>2275</v>
      </c>
      <c r="H1123" s="9" t="s">
        <v>5697</v>
      </c>
      <c r="I1123" s="9" t="s">
        <v>5698</v>
      </c>
      <c r="J1123" s="9" t="s">
        <v>1141</v>
      </c>
      <c r="K1123" s="9" t="s">
        <v>714</v>
      </c>
      <c r="L1123" s="9" t="s">
        <v>1360</v>
      </c>
      <c r="M1123" s="9">
        <v>22</v>
      </c>
      <c r="N1123" s="9">
        <v>17</v>
      </c>
      <c r="O1123" s="9" t="s">
        <v>57</v>
      </c>
      <c r="P1123" s="9" t="s">
        <v>58</v>
      </c>
      <c r="Q1123" s="9">
        <v>26</v>
      </c>
      <c r="R1123" s="9">
        <v>5</v>
      </c>
      <c r="S1123" s="9">
        <v>21</v>
      </c>
      <c r="T1123" s="9">
        <v>12</v>
      </c>
      <c r="U1123" s="9">
        <v>0</v>
      </c>
      <c r="V1123" s="9" t="s">
        <v>114</v>
      </c>
      <c r="W1123" s="9">
        <v>0</v>
      </c>
      <c r="X1123" s="9">
        <v>0</v>
      </c>
      <c r="Y1123" s="9">
        <v>0</v>
      </c>
      <c r="Z1123" s="9">
        <v>0</v>
      </c>
      <c r="AA1123" s="9">
        <v>25</v>
      </c>
      <c r="AB1123" s="9">
        <v>6</v>
      </c>
      <c r="AC1123" s="9">
        <v>14</v>
      </c>
      <c r="AD1123" s="9" t="s">
        <v>0</v>
      </c>
      <c r="AE1123" s="9" t="s">
        <v>60</v>
      </c>
    </row>
    <row r="1124" spans="1:31" ht="51" x14ac:dyDescent="0.2">
      <c r="A1124" s="6" t="str">
        <f>HYPERLINK("http://www.patentics.cn/invokexml.do?sx=showpatent_cn&amp;sf=ShowPatent&amp;spn=CN102237966&amp;sx=showpatent_cn&amp;sv=2f2e189871df688c6fb358b8985f5e39","CN102237966")</f>
        <v>CN102237966</v>
      </c>
      <c r="B1124" s="7" t="s">
        <v>5699</v>
      </c>
      <c r="C1124" s="7" t="s">
        <v>5700</v>
      </c>
      <c r="D1124" s="7" t="s">
        <v>2319</v>
      </c>
      <c r="E1124" s="7" t="s">
        <v>2320</v>
      </c>
      <c r="F1124" s="7" t="s">
        <v>5701</v>
      </c>
      <c r="G1124" s="7" t="s">
        <v>5702</v>
      </c>
      <c r="H1124" s="7" t="s">
        <v>3826</v>
      </c>
      <c r="I1124" s="7" t="s">
        <v>3826</v>
      </c>
      <c r="J1124" s="7" t="s">
        <v>5693</v>
      </c>
      <c r="K1124" s="7" t="s">
        <v>68</v>
      </c>
      <c r="L1124" s="7" t="s">
        <v>1668</v>
      </c>
      <c r="M1124" s="7">
        <v>3</v>
      </c>
      <c r="N1124" s="7">
        <v>21</v>
      </c>
      <c r="O1124" s="7" t="s">
        <v>42</v>
      </c>
      <c r="P1124" s="7" t="s">
        <v>43</v>
      </c>
      <c r="Q1124" s="7">
        <v>3</v>
      </c>
      <c r="R1124" s="7">
        <v>1</v>
      </c>
      <c r="S1124" s="7">
        <v>2</v>
      </c>
      <c r="T1124" s="7">
        <v>3</v>
      </c>
      <c r="U1124" s="7">
        <v>1</v>
      </c>
      <c r="V1124" s="7" t="s">
        <v>769</v>
      </c>
      <c r="W1124" s="7">
        <v>0</v>
      </c>
      <c r="X1124" s="7">
        <v>1</v>
      </c>
      <c r="Y1124" s="7">
        <v>1</v>
      </c>
      <c r="Z1124" s="7">
        <v>1</v>
      </c>
      <c r="AA1124" s="7">
        <v>1</v>
      </c>
      <c r="AB1124" s="7">
        <v>1</v>
      </c>
      <c r="AC1124" s="7" t="s">
        <v>0</v>
      </c>
      <c r="AD1124" s="7">
        <v>1</v>
      </c>
      <c r="AE1124" s="7" t="s">
        <v>60</v>
      </c>
    </row>
    <row r="1125" spans="1:31" ht="76.5" x14ac:dyDescent="0.2">
      <c r="A1125" s="8" t="str">
        <f>HYPERLINK("http://www.patentics.cn/invokexml.do?sx=showpatent_cn&amp;sf=ShowPatent&amp;spn=US9369920&amp;sx=showpatent_cn&amp;sv=d2381e9c13644ebc95e8f298a1ba39a1","US9369920")</f>
        <v>US9369920</v>
      </c>
      <c r="B1125" s="9" t="s">
        <v>5703</v>
      </c>
      <c r="C1125" s="9" t="s">
        <v>5704</v>
      </c>
      <c r="D1125" s="9" t="s">
        <v>48</v>
      </c>
      <c r="E1125" s="9" t="s">
        <v>49</v>
      </c>
      <c r="F1125" s="9" t="s">
        <v>5705</v>
      </c>
      <c r="G1125" s="9" t="s">
        <v>5706</v>
      </c>
      <c r="H1125" s="9" t="s">
        <v>2354</v>
      </c>
      <c r="I1125" s="9" t="s">
        <v>5707</v>
      </c>
      <c r="J1125" s="9" t="s">
        <v>3385</v>
      </c>
      <c r="K1125" s="9" t="s">
        <v>55</v>
      </c>
      <c r="L1125" s="9" t="s">
        <v>4849</v>
      </c>
      <c r="M1125" s="9">
        <v>28</v>
      </c>
      <c r="N1125" s="9">
        <v>8</v>
      </c>
      <c r="O1125" s="9" t="s">
        <v>57</v>
      </c>
      <c r="P1125" s="9" t="s">
        <v>58</v>
      </c>
      <c r="Q1125" s="9">
        <v>9</v>
      </c>
      <c r="R1125" s="9">
        <v>2</v>
      </c>
      <c r="S1125" s="9">
        <v>7</v>
      </c>
      <c r="T1125" s="9">
        <v>7</v>
      </c>
      <c r="U1125" s="9">
        <v>0</v>
      </c>
      <c r="V1125" s="9" t="s">
        <v>114</v>
      </c>
      <c r="W1125" s="9">
        <v>0</v>
      </c>
      <c r="X1125" s="9">
        <v>0</v>
      </c>
      <c r="Y1125" s="9">
        <v>0</v>
      </c>
      <c r="Z1125" s="9">
        <v>0</v>
      </c>
      <c r="AA1125" s="9">
        <v>5</v>
      </c>
      <c r="AB1125" s="9">
        <v>5</v>
      </c>
      <c r="AC1125" s="9">
        <v>14</v>
      </c>
      <c r="AD1125" s="9" t="s">
        <v>0</v>
      </c>
      <c r="AE1125" s="9" t="s">
        <v>60</v>
      </c>
    </row>
    <row r="1126" spans="1:31" ht="38.25" x14ac:dyDescent="0.2">
      <c r="A1126" s="6" t="str">
        <f>HYPERLINK("http://www.patentics.cn/invokexml.do?sx=showpatent_cn&amp;sf=ShowPatent&amp;spn=CN102231191&amp;sx=showpatent_cn&amp;sv=87a7f19c0736d616db0bcfc744cb61ec","CN102231191")</f>
        <v>CN102231191</v>
      </c>
      <c r="B1126" s="7" t="s">
        <v>5708</v>
      </c>
      <c r="C1126" s="7" t="s">
        <v>5709</v>
      </c>
      <c r="D1126" s="7" t="s">
        <v>1420</v>
      </c>
      <c r="E1126" s="7" t="s">
        <v>1420</v>
      </c>
      <c r="F1126" s="7" t="s">
        <v>5710</v>
      </c>
      <c r="G1126" s="7" t="s">
        <v>5711</v>
      </c>
      <c r="H1126" s="7" t="s">
        <v>5712</v>
      </c>
      <c r="I1126" s="7" t="s">
        <v>5712</v>
      </c>
      <c r="J1126" s="7" t="s">
        <v>3415</v>
      </c>
      <c r="K1126" s="7" t="s">
        <v>529</v>
      </c>
      <c r="L1126" s="7" t="s">
        <v>1445</v>
      </c>
      <c r="M1126" s="7">
        <v>4</v>
      </c>
      <c r="N1126" s="7">
        <v>50</v>
      </c>
      <c r="O1126" s="7" t="s">
        <v>42</v>
      </c>
      <c r="P1126" s="7" t="s">
        <v>43</v>
      </c>
      <c r="Q1126" s="7">
        <v>5</v>
      </c>
      <c r="R1126" s="7">
        <v>0</v>
      </c>
      <c r="S1126" s="7">
        <v>5</v>
      </c>
      <c r="T1126" s="7">
        <v>5</v>
      </c>
      <c r="U1126" s="7">
        <v>9</v>
      </c>
      <c r="V1126" s="7" t="s">
        <v>5713</v>
      </c>
      <c r="W1126" s="7">
        <v>0</v>
      </c>
      <c r="X1126" s="7">
        <v>9</v>
      </c>
      <c r="Y1126" s="7">
        <v>7</v>
      </c>
      <c r="Z1126" s="7">
        <v>3</v>
      </c>
      <c r="AA1126" s="7">
        <v>1</v>
      </c>
      <c r="AB1126" s="7">
        <v>1</v>
      </c>
      <c r="AC1126" s="7" t="s">
        <v>0</v>
      </c>
      <c r="AD1126" s="7">
        <v>1</v>
      </c>
      <c r="AE1126" s="7" t="s">
        <v>60</v>
      </c>
    </row>
    <row r="1127" spans="1:31" ht="178.5" x14ac:dyDescent="0.2">
      <c r="A1127" s="8" t="str">
        <f>HYPERLINK("http://www.patentics.cn/invokexml.do?sx=showpatent_cn&amp;sf=ShowPatent&amp;spn=US9692991&amp;sx=showpatent_cn&amp;sv=2851e91d37ba1429ffea72127c242cf6","US9692991")</f>
        <v>US9692991</v>
      </c>
      <c r="B1127" s="9" t="s">
        <v>5714</v>
      </c>
      <c r="C1127" s="9" t="s">
        <v>5715</v>
      </c>
      <c r="D1127" s="9" t="s">
        <v>48</v>
      </c>
      <c r="E1127" s="9" t="s">
        <v>49</v>
      </c>
      <c r="F1127" s="9" t="s">
        <v>5716</v>
      </c>
      <c r="G1127" s="9" t="s">
        <v>5717</v>
      </c>
      <c r="H1127" s="9" t="s">
        <v>5718</v>
      </c>
      <c r="I1127" s="9" t="s">
        <v>5719</v>
      </c>
      <c r="J1127" s="9" t="s">
        <v>298</v>
      </c>
      <c r="K1127" s="9" t="s">
        <v>714</v>
      </c>
      <c r="L1127" s="9" t="s">
        <v>5720</v>
      </c>
      <c r="M1127" s="9">
        <v>24</v>
      </c>
      <c r="N1127" s="9">
        <v>21</v>
      </c>
      <c r="O1127" s="9" t="s">
        <v>57</v>
      </c>
      <c r="P1127" s="9" t="s">
        <v>58</v>
      </c>
      <c r="Q1127" s="9">
        <v>36</v>
      </c>
      <c r="R1127" s="9">
        <v>0</v>
      </c>
      <c r="S1127" s="9">
        <v>36</v>
      </c>
      <c r="T1127" s="9">
        <v>25</v>
      </c>
      <c r="U1127" s="9">
        <v>0</v>
      </c>
      <c r="V1127" s="9" t="s">
        <v>114</v>
      </c>
      <c r="W1127" s="9">
        <v>0</v>
      </c>
      <c r="X1127" s="9">
        <v>0</v>
      </c>
      <c r="Y1127" s="9">
        <v>0</v>
      </c>
      <c r="Z1127" s="9">
        <v>0</v>
      </c>
      <c r="AA1127" s="9">
        <v>10</v>
      </c>
      <c r="AB1127" s="9">
        <v>7</v>
      </c>
      <c r="AC1127" s="9">
        <v>14</v>
      </c>
      <c r="AD1127" s="9" t="s">
        <v>0</v>
      </c>
      <c r="AE1127" s="9" t="s">
        <v>60</v>
      </c>
    </row>
    <row r="1128" spans="1:31" ht="38.25" x14ac:dyDescent="0.2">
      <c r="A1128" s="6" t="str">
        <f>HYPERLINK("http://www.patentics.cn/invokexml.do?sx=showpatent_cn&amp;sf=ShowPatent&amp;spn=CN102223332&amp;sx=showpatent_cn&amp;sv=2a7cdff611091204d7d3037cdfe86d05","CN102223332")</f>
        <v>CN102223332</v>
      </c>
      <c r="B1128" s="7" t="s">
        <v>5721</v>
      </c>
      <c r="C1128" s="7" t="s">
        <v>5722</v>
      </c>
      <c r="D1128" s="7" t="s">
        <v>5128</v>
      </c>
      <c r="E1128" s="7" t="s">
        <v>2320</v>
      </c>
      <c r="F1128" s="7" t="s">
        <v>5723</v>
      </c>
      <c r="G1128" s="7" t="s">
        <v>5724</v>
      </c>
      <c r="H1128" s="7" t="s">
        <v>5584</v>
      </c>
      <c r="I1128" s="7" t="s">
        <v>5584</v>
      </c>
      <c r="J1128" s="7" t="s">
        <v>5725</v>
      </c>
      <c r="K1128" s="7" t="s">
        <v>68</v>
      </c>
      <c r="L1128" s="7" t="s">
        <v>5726</v>
      </c>
      <c r="M1128" s="7">
        <v>6</v>
      </c>
      <c r="N1128" s="7">
        <v>18</v>
      </c>
      <c r="O1128" s="7" t="s">
        <v>42</v>
      </c>
      <c r="P1128" s="7" t="s">
        <v>43</v>
      </c>
      <c r="Q1128" s="7">
        <v>2</v>
      </c>
      <c r="R1128" s="7">
        <v>0</v>
      </c>
      <c r="S1128" s="7">
        <v>2</v>
      </c>
      <c r="T1128" s="7">
        <v>2</v>
      </c>
      <c r="U1128" s="7">
        <v>6</v>
      </c>
      <c r="V1128" s="7" t="s">
        <v>5727</v>
      </c>
      <c r="W1128" s="7">
        <v>4</v>
      </c>
      <c r="X1128" s="7">
        <v>2</v>
      </c>
      <c r="Y1128" s="7">
        <v>3</v>
      </c>
      <c r="Z1128" s="7">
        <v>3</v>
      </c>
      <c r="AA1128" s="7">
        <v>1</v>
      </c>
      <c r="AB1128" s="7">
        <v>1</v>
      </c>
      <c r="AC1128" s="7" t="s">
        <v>0</v>
      </c>
      <c r="AD1128" s="7">
        <v>1</v>
      </c>
      <c r="AE1128" s="7" t="s">
        <v>60</v>
      </c>
    </row>
    <row r="1129" spans="1:31" ht="38.25" x14ac:dyDescent="0.2">
      <c r="A1129" s="8" t="str">
        <f>HYPERLINK("http://www.patentics.cn/invokexml.do?sx=showpatent_cn&amp;sf=ShowPatent&amp;spn=US9319098&amp;sx=showpatent_cn&amp;sv=7c475f1e46cd732fdb5ef08411a4dd73","US9319098")</f>
        <v>US9319098</v>
      </c>
      <c r="B1129" s="9" t="s">
        <v>5728</v>
      </c>
      <c r="C1129" s="9" t="s">
        <v>5729</v>
      </c>
      <c r="D1129" s="9" t="s">
        <v>5730</v>
      </c>
      <c r="E1129" s="9" t="s">
        <v>49</v>
      </c>
      <c r="F1129" s="9" t="s">
        <v>5416</v>
      </c>
      <c r="G1129" s="9" t="s">
        <v>5416</v>
      </c>
      <c r="H1129" s="9" t="s">
        <v>1952</v>
      </c>
      <c r="I1129" s="9" t="s">
        <v>3789</v>
      </c>
      <c r="J1129" s="9" t="s">
        <v>1372</v>
      </c>
      <c r="K1129" s="9" t="s">
        <v>68</v>
      </c>
      <c r="L1129" s="9" t="s">
        <v>2336</v>
      </c>
      <c r="M1129" s="9">
        <v>20</v>
      </c>
      <c r="N1129" s="9">
        <v>15</v>
      </c>
      <c r="O1129" s="9" t="s">
        <v>57</v>
      </c>
      <c r="P1129" s="9" t="s">
        <v>3600</v>
      </c>
      <c r="Q1129" s="9">
        <v>44</v>
      </c>
      <c r="R1129" s="9">
        <v>2</v>
      </c>
      <c r="S1129" s="9">
        <v>42</v>
      </c>
      <c r="T1129" s="9">
        <v>34</v>
      </c>
      <c r="U1129" s="9">
        <v>0</v>
      </c>
      <c r="V1129" s="9" t="s">
        <v>114</v>
      </c>
      <c r="W1129" s="9">
        <v>0</v>
      </c>
      <c r="X1129" s="9">
        <v>0</v>
      </c>
      <c r="Y1129" s="9">
        <v>0</v>
      </c>
      <c r="Z1129" s="9">
        <v>0</v>
      </c>
      <c r="AA1129" s="9">
        <v>14</v>
      </c>
      <c r="AB1129" s="9">
        <v>3</v>
      </c>
      <c r="AC1129" s="9">
        <v>14</v>
      </c>
      <c r="AD1129" s="9" t="s">
        <v>0</v>
      </c>
      <c r="AE1129" s="9" t="s">
        <v>60</v>
      </c>
    </row>
    <row r="1130" spans="1:31" ht="76.5" x14ac:dyDescent="0.2">
      <c r="A1130" s="6" t="str">
        <f>HYPERLINK("http://www.patentics.cn/invokexml.do?sx=showpatent_cn&amp;sf=ShowPatent&amp;spn=CN102214158&amp;sx=showpatent_cn&amp;sv=1e4b6bbb9267b0a9a80d8ddc1a6e81cd","CN102214158")</f>
        <v>CN102214158</v>
      </c>
      <c r="B1130" s="7" t="s">
        <v>5731</v>
      </c>
      <c r="C1130" s="7" t="s">
        <v>5732</v>
      </c>
      <c r="D1130" s="7" t="s">
        <v>1383</v>
      </c>
      <c r="E1130" s="7" t="s">
        <v>1383</v>
      </c>
      <c r="F1130" s="7" t="s">
        <v>5733</v>
      </c>
      <c r="G1130" s="7" t="s">
        <v>5734</v>
      </c>
      <c r="H1130" s="7" t="s">
        <v>5735</v>
      </c>
      <c r="I1130" s="7" t="s">
        <v>5735</v>
      </c>
      <c r="J1130" s="7" t="s">
        <v>5736</v>
      </c>
      <c r="K1130" s="7" t="s">
        <v>885</v>
      </c>
      <c r="L1130" s="7" t="s">
        <v>5737</v>
      </c>
      <c r="M1130" s="7">
        <v>7</v>
      </c>
      <c r="N1130" s="7">
        <v>9</v>
      </c>
      <c r="O1130" s="7" t="s">
        <v>42</v>
      </c>
      <c r="P1130" s="7" t="s">
        <v>43</v>
      </c>
      <c r="Q1130" s="7">
        <v>3</v>
      </c>
      <c r="R1130" s="7">
        <v>0</v>
      </c>
      <c r="S1130" s="7">
        <v>3</v>
      </c>
      <c r="T1130" s="7">
        <v>3</v>
      </c>
      <c r="U1130" s="7">
        <v>5</v>
      </c>
      <c r="V1130" s="7" t="s">
        <v>5738</v>
      </c>
      <c r="W1130" s="7">
        <v>4</v>
      </c>
      <c r="X1130" s="7">
        <v>1</v>
      </c>
      <c r="Y1130" s="7">
        <v>2</v>
      </c>
      <c r="Z1130" s="7">
        <v>2</v>
      </c>
      <c r="AA1130" s="7">
        <v>1</v>
      </c>
      <c r="AB1130" s="7">
        <v>1</v>
      </c>
      <c r="AC1130" s="7" t="s">
        <v>0</v>
      </c>
      <c r="AD1130" s="7">
        <v>1</v>
      </c>
      <c r="AE1130" s="7" t="s">
        <v>60</v>
      </c>
    </row>
    <row r="1131" spans="1:31" ht="76.5" x14ac:dyDescent="0.2">
      <c r="A1131" s="8" t="str">
        <f>HYPERLINK("http://www.patentics.cn/invokexml.do?sx=showpatent_cn&amp;sf=ShowPatent&amp;spn=US9210486&amp;sx=showpatent_cn&amp;sv=ede3ee1089b00405680151522883e00f","US9210486")</f>
        <v>US9210486</v>
      </c>
      <c r="B1131" s="9" t="s">
        <v>5739</v>
      </c>
      <c r="C1131" s="9" t="s">
        <v>5740</v>
      </c>
      <c r="D1131" s="9" t="s">
        <v>48</v>
      </c>
      <c r="E1131" s="9" t="s">
        <v>49</v>
      </c>
      <c r="F1131" s="9" t="s">
        <v>5741</v>
      </c>
      <c r="G1131" s="9" t="s">
        <v>5742</v>
      </c>
      <c r="H1131" s="9" t="s">
        <v>5611</v>
      </c>
      <c r="I1131" s="9" t="s">
        <v>5611</v>
      </c>
      <c r="J1131" s="9" t="s">
        <v>240</v>
      </c>
      <c r="K1131" s="9" t="s">
        <v>96</v>
      </c>
      <c r="L1131" s="9" t="s">
        <v>4037</v>
      </c>
      <c r="M1131" s="9">
        <v>21</v>
      </c>
      <c r="N1131" s="9">
        <v>0</v>
      </c>
      <c r="O1131" s="9" t="s">
        <v>57</v>
      </c>
      <c r="P1131" s="9" t="s">
        <v>58</v>
      </c>
      <c r="Q1131" s="9">
        <v>13</v>
      </c>
      <c r="R1131" s="9">
        <v>0</v>
      </c>
      <c r="S1131" s="9">
        <v>13</v>
      </c>
      <c r="T1131" s="9">
        <v>9</v>
      </c>
      <c r="U1131" s="9">
        <v>0</v>
      </c>
      <c r="V1131" s="9" t="s">
        <v>114</v>
      </c>
      <c r="W1131" s="9">
        <v>0</v>
      </c>
      <c r="X1131" s="9">
        <v>0</v>
      </c>
      <c r="Y1131" s="9">
        <v>0</v>
      </c>
      <c r="Z1131" s="9">
        <v>0</v>
      </c>
      <c r="AA1131" s="9">
        <v>5</v>
      </c>
      <c r="AB1131" s="9">
        <v>5</v>
      </c>
      <c r="AC1131" s="9">
        <v>14</v>
      </c>
      <c r="AD1131" s="9" t="s">
        <v>0</v>
      </c>
      <c r="AE1131" s="9" t="s">
        <v>60</v>
      </c>
    </row>
    <row r="1132" spans="1:31" ht="76.5" x14ac:dyDescent="0.2">
      <c r="A1132" s="6" t="str">
        <f>HYPERLINK("http://www.patentics.cn/invokexml.do?sx=showpatent_cn&amp;sf=ShowPatent&amp;spn=CN102193518&amp;sx=showpatent_cn&amp;sv=0b4219caa7fad568f86989500f051a47","CN102193518")</f>
        <v>CN102193518</v>
      </c>
      <c r="B1132" s="7" t="s">
        <v>5743</v>
      </c>
      <c r="C1132" s="7" t="s">
        <v>5744</v>
      </c>
      <c r="D1132" s="7" t="s">
        <v>5745</v>
      </c>
      <c r="E1132" s="7" t="s">
        <v>5745</v>
      </c>
      <c r="F1132" s="7" t="s">
        <v>5746</v>
      </c>
      <c r="G1132" s="7" t="s">
        <v>5747</v>
      </c>
      <c r="H1132" s="7" t="s">
        <v>5748</v>
      </c>
      <c r="I1132" s="7" t="s">
        <v>5748</v>
      </c>
      <c r="J1132" s="7" t="s">
        <v>866</v>
      </c>
      <c r="K1132" s="7" t="s">
        <v>3617</v>
      </c>
      <c r="L1132" s="7" t="s">
        <v>5749</v>
      </c>
      <c r="M1132" s="7">
        <v>6</v>
      </c>
      <c r="N1132" s="7">
        <v>44</v>
      </c>
      <c r="O1132" s="7" t="s">
        <v>42</v>
      </c>
      <c r="P1132" s="7" t="s">
        <v>43</v>
      </c>
      <c r="Q1132" s="7">
        <v>2</v>
      </c>
      <c r="R1132" s="7">
        <v>0</v>
      </c>
      <c r="S1132" s="7">
        <v>2</v>
      </c>
      <c r="T1132" s="7">
        <v>1</v>
      </c>
      <c r="U1132" s="7">
        <v>8</v>
      </c>
      <c r="V1132" s="7" t="s">
        <v>5750</v>
      </c>
      <c r="W1132" s="7">
        <v>0</v>
      </c>
      <c r="X1132" s="7">
        <v>8</v>
      </c>
      <c r="Y1132" s="7">
        <v>6</v>
      </c>
      <c r="Z1132" s="7">
        <v>3</v>
      </c>
      <c r="AA1132" s="7">
        <v>1</v>
      </c>
      <c r="AB1132" s="7">
        <v>1</v>
      </c>
      <c r="AC1132" s="7" t="s">
        <v>0</v>
      </c>
      <c r="AD1132" s="7">
        <v>1</v>
      </c>
      <c r="AE1132" s="7" t="s">
        <v>60</v>
      </c>
    </row>
    <row r="1133" spans="1:31" ht="25.5" x14ac:dyDescent="0.2">
      <c r="A1133" s="8" t="str">
        <f>HYPERLINK("http://www.patentics.cn/invokexml.do?sx=showpatent_cn&amp;sf=ShowPatent&amp;spn=CN104094293B&amp;sx=showpatent_cn&amp;sv=83ea288ebad68a4d138faf54eccac027","CN104094293B")</f>
        <v>CN104094293B</v>
      </c>
      <c r="B1133" s="9" t="s">
        <v>5751</v>
      </c>
      <c r="C1133" s="9" t="s">
        <v>5752</v>
      </c>
      <c r="D1133" s="9" t="s">
        <v>301</v>
      </c>
      <c r="E1133" s="9" t="s">
        <v>301</v>
      </c>
      <c r="F1133" s="9" t="s">
        <v>5753</v>
      </c>
      <c r="G1133" s="9" t="s">
        <v>5754</v>
      </c>
      <c r="H1133" s="9" t="s">
        <v>5451</v>
      </c>
      <c r="I1133" s="9" t="s">
        <v>5755</v>
      </c>
      <c r="J1133" s="9" t="s">
        <v>844</v>
      </c>
      <c r="K1133" s="9" t="s">
        <v>869</v>
      </c>
      <c r="L1133" s="9" t="s">
        <v>875</v>
      </c>
      <c r="M1133" s="9">
        <v>21</v>
      </c>
      <c r="N1133" s="9">
        <v>12</v>
      </c>
      <c r="O1133" s="9" t="s">
        <v>57</v>
      </c>
      <c r="P1133" s="9" t="s">
        <v>58</v>
      </c>
      <c r="Q1133" s="9">
        <v>2</v>
      </c>
      <c r="R1133" s="9">
        <v>0</v>
      </c>
      <c r="S1133" s="9">
        <v>2</v>
      </c>
      <c r="T1133" s="9">
        <v>2</v>
      </c>
      <c r="U1133" s="9">
        <v>0</v>
      </c>
      <c r="V1133" s="9" t="s">
        <v>114</v>
      </c>
      <c r="W1133" s="9">
        <v>0</v>
      </c>
      <c r="X1133" s="9">
        <v>0</v>
      </c>
      <c r="Y1133" s="9">
        <v>0</v>
      </c>
      <c r="Z1133" s="9">
        <v>0</v>
      </c>
      <c r="AA1133" s="9">
        <v>0</v>
      </c>
      <c r="AB1133" s="9">
        <v>0</v>
      </c>
      <c r="AC1133" s="9">
        <v>14</v>
      </c>
      <c r="AD1133" s="9" t="s">
        <v>0</v>
      </c>
      <c r="AE1133" s="9" t="s">
        <v>60</v>
      </c>
    </row>
    <row r="1134" spans="1:31" ht="25.5" x14ac:dyDescent="0.2">
      <c r="A1134" s="6" t="str">
        <f>HYPERLINK("http://www.patentics.cn/invokexml.do?sx=showpatent_cn&amp;sf=ShowPatent&amp;spn=CN102177750&amp;sx=showpatent_cn&amp;sv=eb0b81f6dfa126b33af2c2c908f08ca5","CN102177750")</f>
        <v>CN102177750</v>
      </c>
      <c r="B1134" s="7" t="s">
        <v>5756</v>
      </c>
      <c r="C1134" s="7" t="s">
        <v>5757</v>
      </c>
      <c r="D1134" s="7" t="s">
        <v>5758</v>
      </c>
      <c r="E1134" s="7" t="s">
        <v>5759</v>
      </c>
      <c r="F1134" s="7" t="s">
        <v>5760</v>
      </c>
      <c r="G1134" s="7" t="s">
        <v>5761</v>
      </c>
      <c r="H1134" s="7" t="s">
        <v>4205</v>
      </c>
      <c r="I1134" s="7" t="s">
        <v>5762</v>
      </c>
      <c r="J1134" s="7" t="s">
        <v>3900</v>
      </c>
      <c r="K1134" s="7" t="s">
        <v>55</v>
      </c>
      <c r="L1134" s="7" t="s">
        <v>5763</v>
      </c>
      <c r="M1134" s="7">
        <v>24</v>
      </c>
      <c r="N1134" s="7">
        <v>25</v>
      </c>
      <c r="O1134" s="7" t="s">
        <v>42</v>
      </c>
      <c r="P1134" s="7" t="s">
        <v>58</v>
      </c>
      <c r="Q1134" s="7">
        <v>0</v>
      </c>
      <c r="R1134" s="7">
        <v>0</v>
      </c>
      <c r="S1134" s="7">
        <v>0</v>
      </c>
      <c r="T1134" s="7">
        <v>0</v>
      </c>
      <c r="U1134" s="7">
        <v>2</v>
      </c>
      <c r="V1134" s="7" t="s">
        <v>1826</v>
      </c>
      <c r="W1134" s="7">
        <v>0</v>
      </c>
      <c r="X1134" s="7">
        <v>2</v>
      </c>
      <c r="Y1134" s="7">
        <v>2</v>
      </c>
      <c r="Z1134" s="7">
        <v>2</v>
      </c>
      <c r="AA1134" s="7">
        <v>11</v>
      </c>
      <c r="AB1134" s="7">
        <v>7</v>
      </c>
      <c r="AC1134" s="7" t="s">
        <v>0</v>
      </c>
      <c r="AD1134" s="7">
        <v>1</v>
      </c>
      <c r="AE1134" s="7" t="s">
        <v>45</v>
      </c>
    </row>
    <row r="1135" spans="1:31" ht="25.5" x14ac:dyDescent="0.2">
      <c r="A1135" s="8" t="str">
        <f>HYPERLINK("http://www.patentics.cn/invokexml.do?sx=showpatent_cn&amp;sf=ShowPatent&amp;spn=CN104160279B&amp;sx=showpatent_cn&amp;sv=a5a55040bd2be9887d141ba22e911ead","CN104160279B")</f>
        <v>CN104160279B</v>
      </c>
      <c r="B1135" s="9" t="s">
        <v>5764</v>
      </c>
      <c r="C1135" s="9" t="s">
        <v>5765</v>
      </c>
      <c r="D1135" s="9" t="s">
        <v>301</v>
      </c>
      <c r="E1135" s="9" t="s">
        <v>301</v>
      </c>
      <c r="F1135" s="9" t="s">
        <v>5766</v>
      </c>
      <c r="G1135" s="9" t="s">
        <v>5766</v>
      </c>
      <c r="H1135" s="9" t="s">
        <v>5767</v>
      </c>
      <c r="I1135" s="9" t="s">
        <v>691</v>
      </c>
      <c r="J1135" s="9" t="s">
        <v>5768</v>
      </c>
      <c r="K1135" s="9" t="s">
        <v>1200</v>
      </c>
      <c r="L1135" s="9" t="s">
        <v>4323</v>
      </c>
      <c r="M1135" s="9">
        <v>34</v>
      </c>
      <c r="N1135" s="9">
        <v>12</v>
      </c>
      <c r="O1135" s="9" t="s">
        <v>57</v>
      </c>
      <c r="P1135" s="9" t="s">
        <v>58</v>
      </c>
      <c r="Q1135" s="9">
        <v>5</v>
      </c>
      <c r="R1135" s="9">
        <v>0</v>
      </c>
      <c r="S1135" s="9">
        <v>5</v>
      </c>
      <c r="T1135" s="9">
        <v>3</v>
      </c>
      <c r="U1135" s="9">
        <v>0</v>
      </c>
      <c r="V1135" s="9" t="s">
        <v>114</v>
      </c>
      <c r="W1135" s="9">
        <v>0</v>
      </c>
      <c r="X1135" s="9">
        <v>0</v>
      </c>
      <c r="Y1135" s="9">
        <v>0</v>
      </c>
      <c r="Z1135" s="9">
        <v>0</v>
      </c>
      <c r="AA1135" s="9">
        <v>0</v>
      </c>
      <c r="AB1135" s="9">
        <v>0</v>
      </c>
      <c r="AC1135" s="9">
        <v>14</v>
      </c>
      <c r="AD1135" s="9" t="s">
        <v>0</v>
      </c>
      <c r="AE1135" s="9" t="s">
        <v>60</v>
      </c>
    </row>
    <row r="1136" spans="1:31" ht="63.75" x14ac:dyDescent="0.2">
      <c r="A1136" s="6" t="str">
        <f>HYPERLINK("http://www.patentics.cn/invokexml.do?sx=showpatent_cn&amp;sf=ShowPatent&amp;spn=CN201956999&amp;sx=showpatent_cn&amp;sv=393dbe7d2b5428a79e0170557677ef8e","CN201956999")</f>
        <v>CN201956999</v>
      </c>
      <c r="B1136" s="7" t="s">
        <v>5769</v>
      </c>
      <c r="C1136" s="7" t="s">
        <v>5770</v>
      </c>
      <c r="D1136" s="7" t="s">
        <v>2653</v>
      </c>
      <c r="E1136" s="7" t="s">
        <v>2653</v>
      </c>
      <c r="F1136" s="7" t="s">
        <v>5771</v>
      </c>
      <c r="G1136" s="7" t="s">
        <v>5772</v>
      </c>
      <c r="H1136" s="7" t="s">
        <v>0</v>
      </c>
      <c r="I1136" s="7" t="s">
        <v>5773</v>
      </c>
      <c r="J1136" s="7" t="s">
        <v>3021</v>
      </c>
      <c r="K1136" s="7" t="s">
        <v>368</v>
      </c>
      <c r="L1136" s="7" t="s">
        <v>5774</v>
      </c>
      <c r="M1136" s="7">
        <v>4</v>
      </c>
      <c r="N1136" s="7">
        <v>25</v>
      </c>
      <c r="O1136" s="7" t="s">
        <v>2185</v>
      </c>
      <c r="P1136" s="7" t="s">
        <v>43</v>
      </c>
      <c r="Q1136" s="7">
        <v>0</v>
      </c>
      <c r="R1136" s="7">
        <v>0</v>
      </c>
      <c r="S1136" s="7">
        <v>0</v>
      </c>
      <c r="T1136" s="7">
        <v>0</v>
      </c>
      <c r="U1136" s="7">
        <v>2</v>
      </c>
      <c r="V1136" s="7" t="s">
        <v>5775</v>
      </c>
      <c r="W1136" s="7">
        <v>1</v>
      </c>
      <c r="X1136" s="7">
        <v>1</v>
      </c>
      <c r="Y1136" s="7">
        <v>2</v>
      </c>
      <c r="Z1136" s="7">
        <v>1</v>
      </c>
      <c r="AA1136" s="7">
        <v>0</v>
      </c>
      <c r="AB1136" s="7">
        <v>0</v>
      </c>
      <c r="AC1136" s="7" t="s">
        <v>0</v>
      </c>
      <c r="AD1136" s="7">
        <v>1</v>
      </c>
      <c r="AE1136" s="7" t="s">
        <v>532</v>
      </c>
    </row>
    <row r="1137" spans="1:31" ht="38.25" x14ac:dyDescent="0.2">
      <c r="A1137" s="8" t="str">
        <f>HYPERLINK("http://www.patentics.cn/invokexml.do?sx=showpatent_cn&amp;sf=ShowPatent&amp;spn=CN104937596&amp;sx=showpatent_cn&amp;sv=0fab7b4153fcfb8588e1693ef119a2c4","CN104937596")</f>
        <v>CN104937596</v>
      </c>
      <c r="B1137" s="9" t="s">
        <v>5776</v>
      </c>
      <c r="C1137" s="9" t="s">
        <v>5777</v>
      </c>
      <c r="D1137" s="9" t="s">
        <v>301</v>
      </c>
      <c r="E1137" s="9" t="s">
        <v>301</v>
      </c>
      <c r="F1137" s="9" t="s">
        <v>5778</v>
      </c>
      <c r="G1137" s="9" t="s">
        <v>5779</v>
      </c>
      <c r="H1137" s="9" t="s">
        <v>2449</v>
      </c>
      <c r="I1137" s="9" t="s">
        <v>1312</v>
      </c>
      <c r="J1137" s="9" t="s">
        <v>5780</v>
      </c>
      <c r="K1137" s="9" t="s">
        <v>885</v>
      </c>
      <c r="L1137" s="9" t="s">
        <v>5781</v>
      </c>
      <c r="M1137" s="9">
        <v>25</v>
      </c>
      <c r="N1137" s="9">
        <v>13</v>
      </c>
      <c r="O1137" s="9" t="s">
        <v>42</v>
      </c>
      <c r="P1137" s="9" t="s">
        <v>58</v>
      </c>
      <c r="Q1137" s="9">
        <v>3</v>
      </c>
      <c r="R1137" s="9">
        <v>0</v>
      </c>
      <c r="S1137" s="9">
        <v>3</v>
      </c>
      <c r="T1137" s="9">
        <v>3</v>
      </c>
      <c r="U1137" s="9">
        <v>0</v>
      </c>
      <c r="V1137" s="9" t="s">
        <v>114</v>
      </c>
      <c r="W1137" s="9">
        <v>0</v>
      </c>
      <c r="X1137" s="9">
        <v>0</v>
      </c>
      <c r="Y1137" s="9">
        <v>0</v>
      </c>
      <c r="Z1137" s="9">
        <v>0</v>
      </c>
      <c r="AA1137" s="9">
        <v>23</v>
      </c>
      <c r="AB1137" s="9">
        <v>8</v>
      </c>
      <c r="AC1137" s="9">
        <v>14</v>
      </c>
      <c r="AD1137" s="9" t="s">
        <v>0</v>
      </c>
      <c r="AE1137" s="9" t="s">
        <v>60</v>
      </c>
    </row>
    <row r="1138" spans="1:31" ht="25.5" x14ac:dyDescent="0.2">
      <c r="A1138" s="6" t="str">
        <f>HYPERLINK("http://www.patentics.cn/invokexml.do?sx=showpatent_cn&amp;sf=ShowPatent&amp;spn=CN102169719&amp;sx=showpatent_cn&amp;sv=6a8f5cf68d5c0ae2ef6ad99c0dd7cbf9","CN102169719")</f>
        <v>CN102169719</v>
      </c>
      <c r="B1138" s="7" t="s">
        <v>5782</v>
      </c>
      <c r="C1138" s="7" t="s">
        <v>5783</v>
      </c>
      <c r="D1138" s="7" t="s">
        <v>524</v>
      </c>
      <c r="E1138" s="7" t="s">
        <v>524</v>
      </c>
      <c r="F1138" s="7" t="s">
        <v>5784</v>
      </c>
      <c r="G1138" s="7" t="s">
        <v>5785</v>
      </c>
      <c r="H1138" s="7" t="s">
        <v>0</v>
      </c>
      <c r="I1138" s="7" t="s">
        <v>2330</v>
      </c>
      <c r="J1138" s="7" t="s">
        <v>3021</v>
      </c>
      <c r="K1138" s="7" t="s">
        <v>3305</v>
      </c>
      <c r="L1138" s="7" t="s">
        <v>5145</v>
      </c>
      <c r="M1138" s="7">
        <v>17</v>
      </c>
      <c r="N1138" s="7">
        <v>13</v>
      </c>
      <c r="O1138" s="7" t="s">
        <v>42</v>
      </c>
      <c r="P1138" s="7" t="s">
        <v>43</v>
      </c>
      <c r="Q1138" s="7">
        <v>0</v>
      </c>
      <c r="R1138" s="7">
        <v>0</v>
      </c>
      <c r="S1138" s="7">
        <v>0</v>
      </c>
      <c r="T1138" s="7">
        <v>0</v>
      </c>
      <c r="U1138" s="7">
        <v>9</v>
      </c>
      <c r="V1138" s="7" t="s">
        <v>5786</v>
      </c>
      <c r="W1138" s="7">
        <v>1</v>
      </c>
      <c r="X1138" s="7">
        <v>8</v>
      </c>
      <c r="Y1138" s="7">
        <v>6</v>
      </c>
      <c r="Z1138" s="7">
        <v>3</v>
      </c>
      <c r="AA1138" s="7">
        <v>0</v>
      </c>
      <c r="AB1138" s="7">
        <v>0</v>
      </c>
      <c r="AC1138" s="7" t="s">
        <v>0</v>
      </c>
      <c r="AD1138" s="7">
        <v>1</v>
      </c>
      <c r="AE1138" s="7" t="s">
        <v>45</v>
      </c>
    </row>
    <row r="1139" spans="1:31" ht="102" x14ac:dyDescent="0.2">
      <c r="A1139" s="8" t="str">
        <f>HYPERLINK("http://www.patentics.cn/invokexml.do?sx=showpatent_cn&amp;sf=ShowPatent&amp;spn=US8908464&amp;sx=showpatent_cn&amp;sv=9489f6b0ad12c798fc0f5415e1844c9e","US8908464")</f>
        <v>US8908464</v>
      </c>
      <c r="B1139" s="9" t="s">
        <v>5787</v>
      </c>
      <c r="C1139" s="9" t="s">
        <v>5788</v>
      </c>
      <c r="D1139" s="9" t="s">
        <v>48</v>
      </c>
      <c r="E1139" s="9" t="s">
        <v>49</v>
      </c>
      <c r="F1139" s="9" t="s">
        <v>5789</v>
      </c>
      <c r="G1139" s="9" t="s">
        <v>5790</v>
      </c>
      <c r="H1139" s="9" t="s">
        <v>604</v>
      </c>
      <c r="I1139" s="9" t="s">
        <v>604</v>
      </c>
      <c r="J1139" s="9" t="s">
        <v>407</v>
      </c>
      <c r="K1139" s="9" t="s">
        <v>3305</v>
      </c>
      <c r="L1139" s="9" t="s">
        <v>5791</v>
      </c>
      <c r="M1139" s="9">
        <v>26</v>
      </c>
      <c r="N1139" s="9">
        <v>17</v>
      </c>
      <c r="O1139" s="9" t="s">
        <v>57</v>
      </c>
      <c r="P1139" s="9" t="s">
        <v>58</v>
      </c>
      <c r="Q1139" s="9">
        <v>18</v>
      </c>
      <c r="R1139" s="9">
        <v>0</v>
      </c>
      <c r="S1139" s="9">
        <v>18</v>
      </c>
      <c r="T1139" s="9">
        <v>16</v>
      </c>
      <c r="U1139" s="9">
        <v>0</v>
      </c>
      <c r="V1139" s="9" t="s">
        <v>114</v>
      </c>
      <c r="W1139" s="9">
        <v>0</v>
      </c>
      <c r="X1139" s="9">
        <v>0</v>
      </c>
      <c r="Y1139" s="9">
        <v>0</v>
      </c>
      <c r="Z1139" s="9">
        <v>0</v>
      </c>
      <c r="AA1139" s="9">
        <v>1</v>
      </c>
      <c r="AB1139" s="9">
        <v>1</v>
      </c>
      <c r="AC1139" s="9">
        <v>14</v>
      </c>
      <c r="AD1139" s="9" t="s">
        <v>0</v>
      </c>
      <c r="AE1139" s="9" t="s">
        <v>60</v>
      </c>
    </row>
    <row r="1140" spans="1:31" ht="38.25" x14ac:dyDescent="0.2">
      <c r="A1140" s="6" t="str">
        <f>HYPERLINK("http://www.patentics.cn/invokexml.do?sx=showpatent_cn&amp;sf=ShowPatent&amp;spn=CN102156540&amp;sx=showpatent_cn&amp;sv=08995cd477c9648817833eab08123be1","CN102156540")</f>
        <v>CN102156540</v>
      </c>
      <c r="B1140" s="7" t="s">
        <v>5792</v>
      </c>
      <c r="C1140" s="7" t="s">
        <v>5793</v>
      </c>
      <c r="D1140" s="7" t="s">
        <v>3572</v>
      </c>
      <c r="E1140" s="7" t="s">
        <v>3572</v>
      </c>
      <c r="F1140" s="7" t="s">
        <v>5794</v>
      </c>
      <c r="G1140" s="7" t="s">
        <v>5795</v>
      </c>
      <c r="H1140" s="7" t="s">
        <v>0</v>
      </c>
      <c r="I1140" s="7" t="s">
        <v>3642</v>
      </c>
      <c r="J1140" s="7" t="s">
        <v>904</v>
      </c>
      <c r="K1140" s="7" t="s">
        <v>885</v>
      </c>
      <c r="L1140" s="7" t="s">
        <v>1300</v>
      </c>
      <c r="M1140" s="7">
        <v>6</v>
      </c>
      <c r="N1140" s="7">
        <v>9</v>
      </c>
      <c r="O1140" s="7" t="s">
        <v>42</v>
      </c>
      <c r="P1140" s="7" t="s">
        <v>43</v>
      </c>
      <c r="Q1140" s="7">
        <v>0</v>
      </c>
      <c r="R1140" s="7">
        <v>0</v>
      </c>
      <c r="S1140" s="7">
        <v>0</v>
      </c>
      <c r="T1140" s="7">
        <v>0</v>
      </c>
      <c r="U1140" s="7">
        <v>5</v>
      </c>
      <c r="V1140" s="7" t="s">
        <v>5796</v>
      </c>
      <c r="W1140" s="7">
        <v>0</v>
      </c>
      <c r="X1140" s="7">
        <v>5</v>
      </c>
      <c r="Y1140" s="7">
        <v>3</v>
      </c>
      <c r="Z1140" s="7">
        <v>2</v>
      </c>
      <c r="AA1140" s="7">
        <v>0</v>
      </c>
      <c r="AB1140" s="7">
        <v>0</v>
      </c>
      <c r="AC1140" s="7" t="s">
        <v>0</v>
      </c>
      <c r="AD1140" s="7">
        <v>1</v>
      </c>
      <c r="AE1140" s="7" t="s">
        <v>1390</v>
      </c>
    </row>
    <row r="1141" spans="1:31" ht="76.5" x14ac:dyDescent="0.2">
      <c r="A1141" s="8" t="str">
        <f>HYPERLINK("http://www.patentics.cn/invokexml.do?sx=showpatent_cn&amp;sf=ShowPatent&amp;spn=US9746945&amp;sx=showpatent_cn&amp;sv=1a3cf7b63263bfc76a733f4252c86980","US9746945")</f>
        <v>US9746945</v>
      </c>
      <c r="B1141" s="9" t="s">
        <v>5797</v>
      </c>
      <c r="C1141" s="9" t="s">
        <v>5798</v>
      </c>
      <c r="D1141" s="9" t="s">
        <v>48</v>
      </c>
      <c r="E1141" s="9" t="s">
        <v>49</v>
      </c>
      <c r="F1141" s="9" t="s">
        <v>5799</v>
      </c>
      <c r="G1141" s="9" t="s">
        <v>5800</v>
      </c>
      <c r="H1141" s="9" t="s">
        <v>5801</v>
      </c>
      <c r="I1141" s="9" t="s">
        <v>464</v>
      </c>
      <c r="J1141" s="9" t="s">
        <v>1332</v>
      </c>
      <c r="K1141" s="9" t="s">
        <v>885</v>
      </c>
      <c r="L1141" s="9" t="s">
        <v>5802</v>
      </c>
      <c r="M1141" s="9">
        <v>47</v>
      </c>
      <c r="N1141" s="9">
        <v>16</v>
      </c>
      <c r="O1141" s="9" t="s">
        <v>57</v>
      </c>
      <c r="P1141" s="9" t="s">
        <v>58</v>
      </c>
      <c r="Q1141" s="9">
        <v>23</v>
      </c>
      <c r="R1141" s="9">
        <v>0</v>
      </c>
      <c r="S1141" s="9">
        <v>23</v>
      </c>
      <c r="T1141" s="9">
        <v>15</v>
      </c>
      <c r="U1141" s="9">
        <v>0</v>
      </c>
      <c r="V1141" s="9" t="s">
        <v>114</v>
      </c>
      <c r="W1141" s="9">
        <v>0</v>
      </c>
      <c r="X1141" s="9">
        <v>0</v>
      </c>
      <c r="Y1141" s="9">
        <v>0</v>
      </c>
      <c r="Z1141" s="9">
        <v>0</v>
      </c>
      <c r="AA1141" s="9">
        <v>8</v>
      </c>
      <c r="AB1141" s="9">
        <v>7</v>
      </c>
      <c r="AC1141" s="9">
        <v>14</v>
      </c>
      <c r="AD1141" s="9" t="s">
        <v>0</v>
      </c>
      <c r="AE1141" s="9" t="s">
        <v>60</v>
      </c>
    </row>
    <row r="1142" spans="1:31" ht="89.25" x14ac:dyDescent="0.2">
      <c r="A1142" s="6" t="str">
        <f>HYPERLINK("http://www.patentics.cn/invokexml.do?sx=showpatent_cn&amp;sf=ShowPatent&amp;spn=CN102145205&amp;sx=showpatent_cn&amp;sv=9a7f672ae909564b13156eb859cca0fe","CN102145205")</f>
        <v>CN102145205</v>
      </c>
      <c r="B1142" s="7" t="s">
        <v>5803</v>
      </c>
      <c r="C1142" s="7" t="s">
        <v>5804</v>
      </c>
      <c r="D1142" s="7" t="s">
        <v>5805</v>
      </c>
      <c r="E1142" s="7" t="s">
        <v>5805</v>
      </c>
      <c r="F1142" s="7" t="s">
        <v>5806</v>
      </c>
      <c r="G1142" s="7" t="s">
        <v>5807</v>
      </c>
      <c r="H1142" s="7" t="s">
        <v>5808</v>
      </c>
      <c r="I1142" s="7" t="s">
        <v>4771</v>
      </c>
      <c r="J1142" s="7" t="s">
        <v>3454</v>
      </c>
      <c r="K1142" s="7" t="s">
        <v>5809</v>
      </c>
      <c r="L1142" s="7" t="s">
        <v>5810</v>
      </c>
      <c r="M1142" s="7">
        <v>15</v>
      </c>
      <c r="N1142" s="7">
        <v>14</v>
      </c>
      <c r="O1142" s="7" t="s">
        <v>42</v>
      </c>
      <c r="P1142" s="7" t="s">
        <v>2681</v>
      </c>
      <c r="Q1142" s="7">
        <v>7</v>
      </c>
      <c r="R1142" s="7">
        <v>0</v>
      </c>
      <c r="S1142" s="7">
        <v>7</v>
      </c>
      <c r="T1142" s="7">
        <v>4</v>
      </c>
      <c r="U1142" s="7">
        <v>1</v>
      </c>
      <c r="V1142" s="7" t="s">
        <v>1591</v>
      </c>
      <c r="W1142" s="7">
        <v>0</v>
      </c>
      <c r="X1142" s="7">
        <v>1</v>
      </c>
      <c r="Y1142" s="7">
        <v>1</v>
      </c>
      <c r="Z1142" s="7">
        <v>1</v>
      </c>
      <c r="AA1142" s="7">
        <v>5</v>
      </c>
      <c r="AB1142" s="7">
        <v>4</v>
      </c>
      <c r="AC1142" s="7" t="s">
        <v>0</v>
      </c>
      <c r="AD1142" s="7">
        <v>1</v>
      </c>
      <c r="AE1142" s="7" t="s">
        <v>60</v>
      </c>
    </row>
    <row r="1143" spans="1:31" ht="38.25" x14ac:dyDescent="0.2">
      <c r="A1143" s="8" t="str">
        <f>HYPERLINK("http://www.patentics.cn/invokexml.do?sx=showpatent_cn&amp;sf=ShowPatent&amp;spn=CN104321016B&amp;sx=showpatent_cn&amp;sv=c45fd502f9684992b9b067b40973c131","CN104321016B")</f>
        <v>CN104321016B</v>
      </c>
      <c r="B1143" s="9" t="s">
        <v>5811</v>
      </c>
      <c r="C1143" s="9" t="s">
        <v>5812</v>
      </c>
      <c r="D1143" s="9" t="s">
        <v>301</v>
      </c>
      <c r="E1143" s="9" t="s">
        <v>301</v>
      </c>
      <c r="F1143" s="9" t="s">
        <v>5813</v>
      </c>
      <c r="G1143" s="9" t="s">
        <v>5814</v>
      </c>
      <c r="H1143" s="9" t="s">
        <v>457</v>
      </c>
      <c r="I1143" s="9" t="s">
        <v>5815</v>
      </c>
      <c r="J1143" s="9" t="s">
        <v>4052</v>
      </c>
      <c r="K1143" s="9" t="s">
        <v>3379</v>
      </c>
      <c r="L1143" s="9" t="s">
        <v>5816</v>
      </c>
      <c r="M1143" s="9">
        <v>36</v>
      </c>
      <c r="N1143" s="9">
        <v>19</v>
      </c>
      <c r="O1143" s="9" t="s">
        <v>57</v>
      </c>
      <c r="P1143" s="9" t="s">
        <v>58</v>
      </c>
      <c r="Q1143" s="9">
        <v>4</v>
      </c>
      <c r="R1143" s="9">
        <v>0</v>
      </c>
      <c r="S1143" s="9">
        <v>4</v>
      </c>
      <c r="T1143" s="9">
        <v>4</v>
      </c>
      <c r="U1143" s="9">
        <v>0</v>
      </c>
      <c r="V1143" s="9" t="s">
        <v>114</v>
      </c>
      <c r="W1143" s="9">
        <v>0</v>
      </c>
      <c r="X1143" s="9">
        <v>0</v>
      </c>
      <c r="Y1143" s="9">
        <v>0</v>
      </c>
      <c r="Z1143" s="9">
        <v>0</v>
      </c>
      <c r="AA1143" s="9">
        <v>5</v>
      </c>
      <c r="AB1143" s="9">
        <v>5</v>
      </c>
      <c r="AC1143" s="9">
        <v>14</v>
      </c>
      <c r="AD1143" s="9" t="s">
        <v>0</v>
      </c>
      <c r="AE1143" s="9" t="s">
        <v>60</v>
      </c>
    </row>
    <row r="1144" spans="1:31" ht="38.25" x14ac:dyDescent="0.2">
      <c r="A1144" s="6" t="str">
        <f>HYPERLINK("http://www.patentics.cn/invokexml.do?sx=showpatent_cn&amp;sf=ShowPatent&amp;spn=CN102150395&amp;sx=showpatent_cn&amp;sv=abdd5ea8ead5fe9f8fb3004e10ad1510","CN102150395")</f>
        <v>CN102150395</v>
      </c>
      <c r="B1144" s="7" t="s">
        <v>5817</v>
      </c>
      <c r="C1144" s="7" t="s">
        <v>5818</v>
      </c>
      <c r="D1144" s="7" t="s">
        <v>5819</v>
      </c>
      <c r="E1144" s="7" t="s">
        <v>5819</v>
      </c>
      <c r="F1144" s="7" t="s">
        <v>5820</v>
      </c>
      <c r="G1144" s="7" t="s">
        <v>5821</v>
      </c>
      <c r="H1144" s="7" t="s">
        <v>5822</v>
      </c>
      <c r="I1144" s="7" t="s">
        <v>5823</v>
      </c>
      <c r="J1144" s="7" t="s">
        <v>3454</v>
      </c>
      <c r="K1144" s="7" t="s">
        <v>68</v>
      </c>
      <c r="L1144" s="7" t="s">
        <v>446</v>
      </c>
      <c r="M1144" s="7">
        <v>18</v>
      </c>
      <c r="N1144" s="7">
        <v>19</v>
      </c>
      <c r="O1144" s="7" t="s">
        <v>42</v>
      </c>
      <c r="P1144" s="7" t="s">
        <v>58</v>
      </c>
      <c r="Q1144" s="7">
        <v>0</v>
      </c>
      <c r="R1144" s="7">
        <v>0</v>
      </c>
      <c r="S1144" s="7">
        <v>0</v>
      </c>
      <c r="T1144" s="7">
        <v>0</v>
      </c>
      <c r="U1144" s="7">
        <v>3</v>
      </c>
      <c r="V1144" s="7" t="s">
        <v>5824</v>
      </c>
      <c r="W1144" s="7">
        <v>0</v>
      </c>
      <c r="X1144" s="7">
        <v>3</v>
      </c>
      <c r="Y1144" s="7">
        <v>2</v>
      </c>
      <c r="Z1144" s="7">
        <v>1</v>
      </c>
      <c r="AA1144" s="7">
        <v>3</v>
      </c>
      <c r="AB1144" s="7">
        <v>3</v>
      </c>
      <c r="AC1144" s="7" t="s">
        <v>0</v>
      </c>
      <c r="AD1144" s="7">
        <v>1</v>
      </c>
      <c r="AE1144" s="7" t="s">
        <v>45</v>
      </c>
    </row>
    <row r="1145" spans="1:31" ht="38.25" x14ac:dyDescent="0.2">
      <c r="A1145" s="8" t="str">
        <f>HYPERLINK("http://www.patentics.cn/invokexml.do?sx=showpatent_cn&amp;sf=ShowPatent&amp;spn=CN103765822B&amp;sx=showpatent_cn&amp;sv=76d2a6ea52059e97327b3c27735e53a8","CN103765822B")</f>
        <v>CN103765822B</v>
      </c>
      <c r="B1145" s="9" t="s">
        <v>5825</v>
      </c>
      <c r="C1145" s="9" t="s">
        <v>5826</v>
      </c>
      <c r="D1145" s="9" t="s">
        <v>301</v>
      </c>
      <c r="E1145" s="9" t="s">
        <v>301</v>
      </c>
      <c r="F1145" s="9" t="s">
        <v>5827</v>
      </c>
      <c r="G1145" s="9" t="s">
        <v>5828</v>
      </c>
      <c r="H1145" s="9" t="s">
        <v>3768</v>
      </c>
      <c r="I1145" s="9" t="s">
        <v>471</v>
      </c>
      <c r="J1145" s="9" t="s">
        <v>5829</v>
      </c>
      <c r="K1145" s="9" t="s">
        <v>68</v>
      </c>
      <c r="L1145" s="9" t="s">
        <v>446</v>
      </c>
      <c r="M1145" s="9">
        <v>26</v>
      </c>
      <c r="N1145" s="9">
        <v>6</v>
      </c>
      <c r="O1145" s="9" t="s">
        <v>57</v>
      </c>
      <c r="P1145" s="9" t="s">
        <v>58</v>
      </c>
      <c r="Q1145" s="9">
        <v>4</v>
      </c>
      <c r="R1145" s="9">
        <v>0</v>
      </c>
      <c r="S1145" s="9">
        <v>4</v>
      </c>
      <c r="T1145" s="9">
        <v>4</v>
      </c>
      <c r="U1145" s="9">
        <v>0</v>
      </c>
      <c r="V1145" s="9" t="s">
        <v>114</v>
      </c>
      <c r="W1145" s="9">
        <v>0</v>
      </c>
      <c r="X1145" s="9">
        <v>0</v>
      </c>
      <c r="Y1145" s="9">
        <v>0</v>
      </c>
      <c r="Z1145" s="9">
        <v>0</v>
      </c>
      <c r="AA1145" s="9">
        <v>13</v>
      </c>
      <c r="AB1145" s="9">
        <v>8</v>
      </c>
      <c r="AC1145" s="9">
        <v>14</v>
      </c>
      <c r="AD1145" s="9" t="s">
        <v>0</v>
      </c>
      <c r="AE1145" s="9" t="s">
        <v>60</v>
      </c>
    </row>
    <row r="1146" spans="1:31" ht="89.25" x14ac:dyDescent="0.2">
      <c r="A1146" s="6" t="str">
        <f>HYPERLINK("http://www.patentics.cn/invokexml.do?sx=showpatent_cn&amp;sf=ShowPatent&amp;spn=CN102150024&amp;sx=showpatent_cn&amp;sv=7701f6d31e053fa5ce1c4fb85d2dd881","CN102150024")</f>
        <v>CN102150024</v>
      </c>
      <c r="B1146" s="7" t="s">
        <v>5830</v>
      </c>
      <c r="C1146" s="7" t="s">
        <v>5831</v>
      </c>
      <c r="D1146" s="7" t="s">
        <v>5832</v>
      </c>
      <c r="E1146" s="7" t="s">
        <v>5833</v>
      </c>
      <c r="F1146" s="7" t="s">
        <v>5834</v>
      </c>
      <c r="G1146" s="7" t="s">
        <v>5835</v>
      </c>
      <c r="H1146" s="7" t="s">
        <v>5836</v>
      </c>
      <c r="I1146" s="7" t="s">
        <v>2559</v>
      </c>
      <c r="J1146" s="7" t="s">
        <v>3454</v>
      </c>
      <c r="K1146" s="7" t="s">
        <v>5837</v>
      </c>
      <c r="L1146" s="7" t="s">
        <v>5838</v>
      </c>
      <c r="M1146" s="7">
        <v>15</v>
      </c>
      <c r="N1146" s="7">
        <v>19</v>
      </c>
      <c r="O1146" s="7" t="s">
        <v>42</v>
      </c>
      <c r="P1146" s="7" t="s">
        <v>341</v>
      </c>
      <c r="Q1146" s="7">
        <v>0</v>
      </c>
      <c r="R1146" s="7">
        <v>0</v>
      </c>
      <c r="S1146" s="7">
        <v>0</v>
      </c>
      <c r="T1146" s="7">
        <v>0</v>
      </c>
      <c r="U1146" s="7">
        <v>2</v>
      </c>
      <c r="V1146" s="7" t="s">
        <v>5839</v>
      </c>
      <c r="W1146" s="7">
        <v>1</v>
      </c>
      <c r="X1146" s="7">
        <v>1</v>
      </c>
      <c r="Y1146" s="7">
        <v>2</v>
      </c>
      <c r="Z1146" s="7">
        <v>1</v>
      </c>
      <c r="AA1146" s="7">
        <v>31</v>
      </c>
      <c r="AB1146" s="7">
        <v>6</v>
      </c>
      <c r="AC1146" s="7" t="s">
        <v>0</v>
      </c>
      <c r="AD1146" s="7">
        <v>1</v>
      </c>
      <c r="AE1146" s="7" t="s">
        <v>60</v>
      </c>
    </row>
    <row r="1147" spans="1:31" ht="63.75" x14ac:dyDescent="0.2">
      <c r="A1147" s="8" t="str">
        <f>HYPERLINK("http://www.patentics.cn/invokexml.do?sx=showpatent_cn&amp;sf=ShowPatent&amp;spn=CN104040626B&amp;sx=showpatent_cn&amp;sv=d3ea2a952205f6e3c10cd78204c94c0c","CN104040626B")</f>
        <v>CN104040626B</v>
      </c>
      <c r="B1147" s="9" t="s">
        <v>5840</v>
      </c>
      <c r="C1147" s="9" t="s">
        <v>5841</v>
      </c>
      <c r="D1147" s="9" t="s">
        <v>301</v>
      </c>
      <c r="E1147" s="9" t="s">
        <v>301</v>
      </c>
      <c r="F1147" s="9" t="s">
        <v>5842</v>
      </c>
      <c r="G1147" s="9" t="s">
        <v>5843</v>
      </c>
      <c r="H1147" s="9" t="s">
        <v>5844</v>
      </c>
      <c r="I1147" s="9" t="s">
        <v>5845</v>
      </c>
      <c r="J1147" s="9" t="s">
        <v>5846</v>
      </c>
      <c r="K1147" s="9" t="s">
        <v>1486</v>
      </c>
      <c r="L1147" s="9" t="s">
        <v>5847</v>
      </c>
      <c r="M1147" s="9">
        <v>40</v>
      </c>
      <c r="N1147" s="9">
        <v>12</v>
      </c>
      <c r="O1147" s="9" t="s">
        <v>57</v>
      </c>
      <c r="P1147" s="9" t="s">
        <v>58</v>
      </c>
      <c r="Q1147" s="9">
        <v>12</v>
      </c>
      <c r="R1147" s="9">
        <v>2</v>
      </c>
      <c r="S1147" s="9">
        <v>10</v>
      </c>
      <c r="T1147" s="9">
        <v>10</v>
      </c>
      <c r="U1147" s="9">
        <v>0</v>
      </c>
      <c r="V1147" s="9" t="s">
        <v>114</v>
      </c>
      <c r="W1147" s="9">
        <v>0</v>
      </c>
      <c r="X1147" s="9">
        <v>0</v>
      </c>
      <c r="Y1147" s="9">
        <v>0</v>
      </c>
      <c r="Z1147" s="9">
        <v>0</v>
      </c>
      <c r="AA1147" s="9">
        <v>0</v>
      </c>
      <c r="AB1147" s="9">
        <v>0</v>
      </c>
      <c r="AC1147" s="9">
        <v>14</v>
      </c>
      <c r="AD1147" s="9" t="s">
        <v>0</v>
      </c>
      <c r="AE1147" s="9" t="s">
        <v>60</v>
      </c>
    </row>
    <row r="1148" spans="1:31" ht="25.5" x14ac:dyDescent="0.2">
      <c r="A1148" s="6" t="str">
        <f>HYPERLINK("http://www.patentics.cn/invokexml.do?sx=showpatent_cn&amp;sf=ShowPatent&amp;spn=CN102142046&amp;sx=showpatent_cn&amp;sv=64cbf4bc26c32fc39f9ab51c41e91604","CN102142046")</f>
        <v>CN102142046</v>
      </c>
      <c r="B1148" s="7" t="s">
        <v>5848</v>
      </c>
      <c r="C1148" s="7" t="s">
        <v>5849</v>
      </c>
      <c r="D1148" s="7" t="s">
        <v>524</v>
      </c>
      <c r="E1148" s="7" t="s">
        <v>524</v>
      </c>
      <c r="F1148" s="7" t="s">
        <v>5850</v>
      </c>
      <c r="G1148" s="7" t="s">
        <v>5851</v>
      </c>
      <c r="H1148" s="7" t="s">
        <v>0</v>
      </c>
      <c r="I1148" s="7" t="s">
        <v>5852</v>
      </c>
      <c r="J1148" s="7" t="s">
        <v>5853</v>
      </c>
      <c r="K1148" s="7" t="s">
        <v>885</v>
      </c>
      <c r="L1148" s="7" t="s">
        <v>5781</v>
      </c>
      <c r="M1148" s="7">
        <v>7</v>
      </c>
      <c r="N1148" s="7">
        <v>18</v>
      </c>
      <c r="O1148" s="7" t="s">
        <v>42</v>
      </c>
      <c r="P1148" s="7" t="s">
        <v>43</v>
      </c>
      <c r="Q1148" s="7">
        <v>0</v>
      </c>
      <c r="R1148" s="7">
        <v>0</v>
      </c>
      <c r="S1148" s="7">
        <v>0</v>
      </c>
      <c r="T1148" s="7">
        <v>0</v>
      </c>
      <c r="U1148" s="7">
        <v>1</v>
      </c>
      <c r="V1148" s="7" t="s">
        <v>466</v>
      </c>
      <c r="W1148" s="7">
        <v>0</v>
      </c>
      <c r="X1148" s="7">
        <v>1</v>
      </c>
      <c r="Y1148" s="7">
        <v>1</v>
      </c>
      <c r="Z1148" s="7">
        <v>1</v>
      </c>
      <c r="AA1148" s="7">
        <v>0</v>
      </c>
      <c r="AB1148" s="7">
        <v>0</v>
      </c>
      <c r="AC1148" s="7" t="s">
        <v>0</v>
      </c>
      <c r="AD1148" s="7">
        <v>1</v>
      </c>
      <c r="AE1148" s="7" t="s">
        <v>45</v>
      </c>
    </row>
    <row r="1149" spans="1:31" ht="63.75" x14ac:dyDescent="0.2">
      <c r="A1149" s="8" t="str">
        <f>HYPERLINK("http://www.patentics.cn/invokexml.do?sx=showpatent_cn&amp;sf=ShowPatent&amp;spn=CN105074704B&amp;sx=showpatent_cn&amp;sv=5221b91ee51a19bbf488fdf2a5ea95b1","CN105074704B")</f>
        <v>CN105074704B</v>
      </c>
      <c r="B1149" s="9" t="s">
        <v>5854</v>
      </c>
      <c r="C1149" s="9" t="s">
        <v>5855</v>
      </c>
      <c r="D1149" s="9" t="s">
        <v>301</v>
      </c>
      <c r="E1149" s="9" t="s">
        <v>301</v>
      </c>
      <c r="F1149" s="9" t="s">
        <v>5856</v>
      </c>
      <c r="G1149" s="9" t="s">
        <v>5857</v>
      </c>
      <c r="H1149" s="9" t="s">
        <v>1222</v>
      </c>
      <c r="I1149" s="9" t="s">
        <v>5858</v>
      </c>
      <c r="J1149" s="9" t="s">
        <v>1291</v>
      </c>
      <c r="K1149" s="9" t="s">
        <v>885</v>
      </c>
      <c r="L1149" s="9" t="s">
        <v>5781</v>
      </c>
      <c r="M1149" s="9">
        <v>26</v>
      </c>
      <c r="N1149" s="9">
        <v>17</v>
      </c>
      <c r="O1149" s="9" t="s">
        <v>57</v>
      </c>
      <c r="P1149" s="9" t="s">
        <v>58</v>
      </c>
      <c r="Q1149" s="9">
        <v>3</v>
      </c>
      <c r="R1149" s="9">
        <v>0</v>
      </c>
      <c r="S1149" s="9">
        <v>3</v>
      </c>
      <c r="T1149" s="9">
        <v>2</v>
      </c>
      <c r="U1149" s="9">
        <v>0</v>
      </c>
      <c r="V1149" s="9" t="s">
        <v>114</v>
      </c>
      <c r="W1149" s="9">
        <v>0</v>
      </c>
      <c r="X1149" s="9">
        <v>0</v>
      </c>
      <c r="Y1149" s="9">
        <v>0</v>
      </c>
      <c r="Z1149" s="9">
        <v>0</v>
      </c>
      <c r="AA1149" s="9">
        <v>7</v>
      </c>
      <c r="AB1149" s="9">
        <v>5</v>
      </c>
      <c r="AC1149" s="9">
        <v>14</v>
      </c>
      <c r="AD1149" s="9" t="s">
        <v>0</v>
      </c>
      <c r="AE1149" s="9" t="s">
        <v>60</v>
      </c>
    </row>
    <row r="1150" spans="1:31" ht="38.25" x14ac:dyDescent="0.2">
      <c r="A1150" s="6" t="str">
        <f>HYPERLINK("http://www.patentics.cn/invokexml.do?sx=showpatent_cn&amp;sf=ShowPatent&amp;spn=CN102123286&amp;sx=showpatent_cn&amp;sv=a72bda90107615e6237b69405737cfd1","CN102123286")</f>
        <v>CN102123286</v>
      </c>
      <c r="B1150" s="7" t="s">
        <v>5859</v>
      </c>
      <c r="C1150" s="7" t="s">
        <v>5860</v>
      </c>
      <c r="D1150" s="7" t="s">
        <v>5861</v>
      </c>
      <c r="E1150" s="7" t="s">
        <v>1225</v>
      </c>
      <c r="F1150" s="7" t="s">
        <v>5862</v>
      </c>
      <c r="G1150" s="7" t="s">
        <v>5863</v>
      </c>
      <c r="H1150" s="7" t="s">
        <v>2138</v>
      </c>
      <c r="I1150" s="7" t="s">
        <v>2138</v>
      </c>
      <c r="J1150" s="7" t="s">
        <v>3467</v>
      </c>
      <c r="K1150" s="7" t="s">
        <v>714</v>
      </c>
      <c r="L1150" s="7" t="s">
        <v>4516</v>
      </c>
      <c r="M1150" s="7">
        <v>10</v>
      </c>
      <c r="N1150" s="7">
        <v>10</v>
      </c>
      <c r="O1150" s="7" t="s">
        <v>42</v>
      </c>
      <c r="P1150" s="7" t="s">
        <v>43</v>
      </c>
      <c r="Q1150" s="7">
        <v>2</v>
      </c>
      <c r="R1150" s="7">
        <v>2</v>
      </c>
      <c r="S1150" s="7">
        <v>0</v>
      </c>
      <c r="T1150" s="7">
        <v>1</v>
      </c>
      <c r="U1150" s="7">
        <v>1</v>
      </c>
      <c r="V1150" s="7" t="s">
        <v>78</v>
      </c>
      <c r="W1150" s="7">
        <v>0</v>
      </c>
      <c r="X1150" s="7">
        <v>1</v>
      </c>
      <c r="Y1150" s="7">
        <v>1</v>
      </c>
      <c r="Z1150" s="7">
        <v>1</v>
      </c>
      <c r="AA1150" s="7">
        <v>1</v>
      </c>
      <c r="AB1150" s="7">
        <v>1</v>
      </c>
      <c r="AC1150" s="7" t="s">
        <v>0</v>
      </c>
      <c r="AD1150" s="7">
        <v>1</v>
      </c>
      <c r="AE1150" s="7" t="s">
        <v>60</v>
      </c>
    </row>
    <row r="1151" spans="1:31" ht="63.75" x14ac:dyDescent="0.2">
      <c r="A1151" s="8" t="str">
        <f>HYPERLINK("http://www.patentics.cn/invokexml.do?sx=showpatent_cn&amp;sf=ShowPatent&amp;spn=CN103975595B&amp;sx=showpatent_cn&amp;sv=1d0e2ce4da276f132124714ca80cabf2","CN103975595B")</f>
        <v>CN103975595B</v>
      </c>
      <c r="B1151" s="9" t="s">
        <v>5864</v>
      </c>
      <c r="C1151" s="9" t="s">
        <v>5865</v>
      </c>
      <c r="D1151" s="9" t="s">
        <v>301</v>
      </c>
      <c r="E1151" s="9" t="s">
        <v>301</v>
      </c>
      <c r="F1151" s="9" t="s">
        <v>5866</v>
      </c>
      <c r="G1151" s="9" t="s">
        <v>5867</v>
      </c>
      <c r="H1151" s="9" t="s">
        <v>5553</v>
      </c>
      <c r="I1151" s="9" t="s">
        <v>3888</v>
      </c>
      <c r="J1151" s="9" t="s">
        <v>5868</v>
      </c>
      <c r="K1151" s="9" t="s">
        <v>714</v>
      </c>
      <c r="L1151" s="9" t="s">
        <v>5869</v>
      </c>
      <c r="M1151" s="9">
        <v>28</v>
      </c>
      <c r="N1151" s="9">
        <v>14</v>
      </c>
      <c r="O1151" s="9" t="s">
        <v>57</v>
      </c>
      <c r="P1151" s="9" t="s">
        <v>58</v>
      </c>
      <c r="Q1151" s="9">
        <v>5</v>
      </c>
      <c r="R1151" s="9">
        <v>0</v>
      </c>
      <c r="S1151" s="9">
        <v>5</v>
      </c>
      <c r="T1151" s="9">
        <v>4</v>
      </c>
      <c r="U1151" s="9">
        <v>0</v>
      </c>
      <c r="V1151" s="9" t="s">
        <v>114</v>
      </c>
      <c r="W1151" s="9">
        <v>0</v>
      </c>
      <c r="X1151" s="9">
        <v>0</v>
      </c>
      <c r="Y1151" s="9">
        <v>0</v>
      </c>
      <c r="Z1151" s="9">
        <v>0</v>
      </c>
      <c r="AA1151" s="9">
        <v>0</v>
      </c>
      <c r="AB1151" s="9">
        <v>0</v>
      </c>
      <c r="AC1151" s="9">
        <v>14</v>
      </c>
      <c r="AD1151" s="9" t="s">
        <v>0</v>
      </c>
      <c r="AE1151" s="9" t="s">
        <v>60</v>
      </c>
    </row>
    <row r="1152" spans="1:31" ht="51" x14ac:dyDescent="0.2">
      <c r="A1152" s="6" t="str">
        <f>HYPERLINK("http://www.patentics.cn/invokexml.do?sx=showpatent_cn&amp;sf=ShowPatent&amp;spn=CN102082592&amp;sx=showpatent_cn&amp;sv=71b557b75dc3c3c9b0f10f6a18c1dbfb","CN102082592")</f>
        <v>CN102082592</v>
      </c>
      <c r="B1152" s="7" t="s">
        <v>5870</v>
      </c>
      <c r="C1152" s="7" t="s">
        <v>5871</v>
      </c>
      <c r="D1152" s="7" t="s">
        <v>5872</v>
      </c>
      <c r="E1152" s="7" t="s">
        <v>5872</v>
      </c>
      <c r="F1152" s="7" t="s">
        <v>5873</v>
      </c>
      <c r="G1152" s="7" t="s">
        <v>5874</v>
      </c>
      <c r="H1152" s="7" t="s">
        <v>0</v>
      </c>
      <c r="I1152" s="7" t="s">
        <v>5875</v>
      </c>
      <c r="J1152" s="7" t="s">
        <v>3844</v>
      </c>
      <c r="K1152" s="7" t="s">
        <v>89</v>
      </c>
      <c r="L1152" s="7" t="s">
        <v>340</v>
      </c>
      <c r="M1152" s="7">
        <v>2</v>
      </c>
      <c r="N1152" s="7">
        <v>46</v>
      </c>
      <c r="O1152" s="7" t="s">
        <v>42</v>
      </c>
      <c r="P1152" s="7" t="s">
        <v>43</v>
      </c>
      <c r="Q1152" s="7">
        <v>0</v>
      </c>
      <c r="R1152" s="7">
        <v>0</v>
      </c>
      <c r="S1152" s="7">
        <v>0</v>
      </c>
      <c r="T1152" s="7">
        <v>0</v>
      </c>
      <c r="U1152" s="7">
        <v>3</v>
      </c>
      <c r="V1152" s="7" t="s">
        <v>948</v>
      </c>
      <c r="W1152" s="7">
        <v>0</v>
      </c>
      <c r="X1152" s="7">
        <v>3</v>
      </c>
      <c r="Y1152" s="7">
        <v>2</v>
      </c>
      <c r="Z1152" s="7">
        <v>1</v>
      </c>
      <c r="AA1152" s="7">
        <v>0</v>
      </c>
      <c r="AB1152" s="7">
        <v>0</v>
      </c>
      <c r="AC1152" s="7" t="s">
        <v>0</v>
      </c>
      <c r="AD1152" s="7">
        <v>1</v>
      </c>
      <c r="AE1152" s="7" t="s">
        <v>45</v>
      </c>
    </row>
    <row r="1153" spans="1:31" ht="63.75" x14ac:dyDescent="0.2">
      <c r="A1153" s="8" t="str">
        <f>HYPERLINK("http://www.patentics.cn/invokexml.do?sx=showpatent_cn&amp;sf=ShowPatent&amp;spn=CN105009469B&amp;sx=showpatent_cn&amp;sv=b6e80c8da36b44c04e00d8f20b07ca4f","CN105009469B")</f>
        <v>CN105009469B</v>
      </c>
      <c r="B1153" s="9" t="s">
        <v>5876</v>
      </c>
      <c r="C1153" s="9" t="s">
        <v>5877</v>
      </c>
      <c r="D1153" s="9" t="s">
        <v>301</v>
      </c>
      <c r="E1153" s="9" t="s">
        <v>301</v>
      </c>
      <c r="F1153" s="9" t="s">
        <v>5878</v>
      </c>
      <c r="G1153" s="9" t="s">
        <v>5879</v>
      </c>
      <c r="H1153" s="9" t="s">
        <v>820</v>
      </c>
      <c r="I1153" s="9" t="s">
        <v>5186</v>
      </c>
      <c r="J1153" s="9" t="s">
        <v>1149</v>
      </c>
      <c r="K1153" s="9" t="s">
        <v>89</v>
      </c>
      <c r="L1153" s="9" t="s">
        <v>5880</v>
      </c>
      <c r="M1153" s="9">
        <v>39</v>
      </c>
      <c r="N1153" s="9">
        <v>12</v>
      </c>
      <c r="O1153" s="9" t="s">
        <v>57</v>
      </c>
      <c r="P1153" s="9" t="s">
        <v>58</v>
      </c>
      <c r="Q1153" s="9">
        <v>5</v>
      </c>
      <c r="R1153" s="9">
        <v>0</v>
      </c>
      <c r="S1153" s="9">
        <v>5</v>
      </c>
      <c r="T1153" s="9">
        <v>5</v>
      </c>
      <c r="U1153" s="9">
        <v>0</v>
      </c>
      <c r="V1153" s="9" t="s">
        <v>114</v>
      </c>
      <c r="W1153" s="9">
        <v>0</v>
      </c>
      <c r="X1153" s="9">
        <v>0</v>
      </c>
      <c r="Y1153" s="9">
        <v>0</v>
      </c>
      <c r="Z1153" s="9">
        <v>0</v>
      </c>
      <c r="AA1153" s="9">
        <v>0</v>
      </c>
      <c r="AB1153" s="9">
        <v>0</v>
      </c>
      <c r="AC1153" s="9">
        <v>14</v>
      </c>
      <c r="AD1153" s="9" t="s">
        <v>0</v>
      </c>
      <c r="AE1153" s="9" t="s">
        <v>60</v>
      </c>
    </row>
    <row r="1154" spans="1:31" ht="25.5" x14ac:dyDescent="0.2">
      <c r="A1154" s="6" t="str">
        <f>HYPERLINK("http://www.patentics.cn/invokexml.do?sx=showpatent_cn&amp;sf=ShowPatent&amp;spn=CN102054089&amp;sx=showpatent_cn&amp;sv=f825de3b041a96cc4ee36e9107afa158","CN102054089")</f>
        <v>CN102054089</v>
      </c>
      <c r="B1154" s="7" t="s">
        <v>5881</v>
      </c>
      <c r="C1154" s="7" t="s">
        <v>5849</v>
      </c>
      <c r="D1154" s="7" t="s">
        <v>524</v>
      </c>
      <c r="E1154" s="7" t="s">
        <v>524</v>
      </c>
      <c r="F1154" s="7" t="s">
        <v>5850</v>
      </c>
      <c r="G1154" s="7" t="s">
        <v>5851</v>
      </c>
      <c r="H1154" s="7" t="s">
        <v>2360</v>
      </c>
      <c r="I1154" s="7" t="s">
        <v>5882</v>
      </c>
      <c r="J1154" s="7" t="s">
        <v>1865</v>
      </c>
      <c r="K1154" s="7" t="s">
        <v>885</v>
      </c>
      <c r="L1154" s="7" t="s">
        <v>5781</v>
      </c>
      <c r="M1154" s="7">
        <v>6</v>
      </c>
      <c r="N1154" s="7">
        <v>17</v>
      </c>
      <c r="O1154" s="7" t="s">
        <v>42</v>
      </c>
      <c r="P1154" s="7" t="s">
        <v>43</v>
      </c>
      <c r="Q1154" s="7">
        <v>1</v>
      </c>
      <c r="R1154" s="7">
        <v>0</v>
      </c>
      <c r="S1154" s="7">
        <v>1</v>
      </c>
      <c r="T1154" s="7">
        <v>1</v>
      </c>
      <c r="U1154" s="7">
        <v>1</v>
      </c>
      <c r="V1154" s="7" t="s">
        <v>466</v>
      </c>
      <c r="W1154" s="7">
        <v>0</v>
      </c>
      <c r="X1154" s="7">
        <v>1</v>
      </c>
      <c r="Y1154" s="7">
        <v>1</v>
      </c>
      <c r="Z1154" s="7">
        <v>1</v>
      </c>
      <c r="AA1154" s="7">
        <v>1</v>
      </c>
      <c r="AB1154" s="7">
        <v>1</v>
      </c>
      <c r="AC1154" s="7" t="s">
        <v>0</v>
      </c>
      <c r="AD1154" s="7">
        <v>1</v>
      </c>
      <c r="AE1154" s="7" t="s">
        <v>60</v>
      </c>
    </row>
    <row r="1155" spans="1:31" ht="63.75" x14ac:dyDescent="0.2">
      <c r="A1155" s="8" t="str">
        <f>HYPERLINK("http://www.patentics.cn/invokexml.do?sx=showpatent_cn&amp;sf=ShowPatent&amp;spn=CN105074704B&amp;sx=showpatent_cn&amp;sv=5221b91ee51a19bbf488fdf2a5ea95b1","CN105074704B")</f>
        <v>CN105074704B</v>
      </c>
      <c r="B1155" s="9" t="s">
        <v>5854</v>
      </c>
      <c r="C1155" s="9" t="s">
        <v>5855</v>
      </c>
      <c r="D1155" s="9" t="s">
        <v>301</v>
      </c>
      <c r="E1155" s="9" t="s">
        <v>301</v>
      </c>
      <c r="F1155" s="9" t="s">
        <v>5856</v>
      </c>
      <c r="G1155" s="9" t="s">
        <v>5857</v>
      </c>
      <c r="H1155" s="9" t="s">
        <v>1222</v>
      </c>
      <c r="I1155" s="9" t="s">
        <v>5858</v>
      </c>
      <c r="J1155" s="9" t="s">
        <v>1291</v>
      </c>
      <c r="K1155" s="9" t="s">
        <v>885</v>
      </c>
      <c r="L1155" s="9" t="s">
        <v>5781</v>
      </c>
      <c r="M1155" s="9">
        <v>26</v>
      </c>
      <c r="N1155" s="9">
        <v>17</v>
      </c>
      <c r="O1155" s="9" t="s">
        <v>57</v>
      </c>
      <c r="P1155" s="9" t="s">
        <v>58</v>
      </c>
      <c r="Q1155" s="9">
        <v>3</v>
      </c>
      <c r="R1155" s="9">
        <v>0</v>
      </c>
      <c r="S1155" s="9">
        <v>3</v>
      </c>
      <c r="T1155" s="9">
        <v>2</v>
      </c>
      <c r="U1155" s="9">
        <v>0</v>
      </c>
      <c r="V1155" s="9" t="s">
        <v>114</v>
      </c>
      <c r="W1155" s="9">
        <v>0</v>
      </c>
      <c r="X1155" s="9">
        <v>0</v>
      </c>
      <c r="Y1155" s="9">
        <v>0</v>
      </c>
      <c r="Z1155" s="9">
        <v>0</v>
      </c>
      <c r="AA1155" s="9">
        <v>7</v>
      </c>
      <c r="AB1155" s="9">
        <v>5</v>
      </c>
      <c r="AC1155" s="9">
        <v>14</v>
      </c>
      <c r="AD1155" s="9" t="s">
        <v>0</v>
      </c>
      <c r="AE1155" s="9" t="s">
        <v>60</v>
      </c>
    </row>
    <row r="1156" spans="1:31" ht="38.25" x14ac:dyDescent="0.2">
      <c r="A1156" s="6" t="str">
        <f>HYPERLINK("http://www.patentics.cn/invokexml.do?sx=showpatent_cn&amp;sf=ShowPatent&amp;spn=CN102045072&amp;sx=showpatent_cn&amp;sv=65d354e1878aa700a2cb5743d6586cee","CN102045072")</f>
        <v>CN102045072</v>
      </c>
      <c r="B1156" s="7" t="s">
        <v>5883</v>
      </c>
      <c r="C1156" s="7" t="s">
        <v>5884</v>
      </c>
      <c r="D1156" s="7" t="s">
        <v>923</v>
      </c>
      <c r="E1156" s="7" t="s">
        <v>923</v>
      </c>
      <c r="F1156" s="7" t="s">
        <v>5885</v>
      </c>
      <c r="G1156" s="7" t="s">
        <v>5886</v>
      </c>
      <c r="H1156" s="7" t="s">
        <v>0</v>
      </c>
      <c r="I1156" s="7" t="s">
        <v>5887</v>
      </c>
      <c r="J1156" s="7" t="s">
        <v>5888</v>
      </c>
      <c r="K1156" s="7" t="s">
        <v>1529</v>
      </c>
      <c r="L1156" s="7" t="s">
        <v>5889</v>
      </c>
      <c r="M1156" s="7">
        <v>2</v>
      </c>
      <c r="N1156" s="7">
        <v>31</v>
      </c>
      <c r="O1156" s="7" t="s">
        <v>42</v>
      </c>
      <c r="P1156" s="7" t="s">
        <v>43</v>
      </c>
      <c r="Q1156" s="7">
        <v>0</v>
      </c>
      <c r="R1156" s="7">
        <v>0</v>
      </c>
      <c r="S1156" s="7">
        <v>0</v>
      </c>
      <c r="T1156" s="7">
        <v>0</v>
      </c>
      <c r="U1156" s="7">
        <v>4</v>
      </c>
      <c r="V1156" s="7" t="s">
        <v>5890</v>
      </c>
      <c r="W1156" s="7">
        <v>0</v>
      </c>
      <c r="X1156" s="7">
        <v>4</v>
      </c>
      <c r="Y1156" s="7">
        <v>3</v>
      </c>
      <c r="Z1156" s="7">
        <v>2</v>
      </c>
      <c r="AA1156" s="7">
        <v>0</v>
      </c>
      <c r="AB1156" s="7">
        <v>0</v>
      </c>
      <c r="AC1156" s="7" t="s">
        <v>0</v>
      </c>
      <c r="AD1156" s="7">
        <v>1</v>
      </c>
      <c r="AE1156" s="7" t="s">
        <v>45</v>
      </c>
    </row>
    <row r="1157" spans="1:31" ht="89.25" x14ac:dyDescent="0.2">
      <c r="A1157" s="8" t="str">
        <f>HYPERLINK("http://www.patentics.cn/invokexml.do?sx=showpatent_cn&amp;sf=ShowPatent&amp;spn=WO2014139123&amp;sx=showpatent_cn&amp;sv=5a42dc2e9b866e0abb35fa17403a1f7b","WO2014139123")</f>
        <v>WO2014139123</v>
      </c>
      <c r="B1157" s="9" t="s">
        <v>5891</v>
      </c>
      <c r="C1157" s="9" t="s">
        <v>5892</v>
      </c>
      <c r="D1157" s="9" t="s">
        <v>117</v>
      </c>
      <c r="E1157" s="9" t="s">
        <v>49</v>
      </c>
      <c r="F1157" s="9" t="s">
        <v>5893</v>
      </c>
      <c r="G1157" s="9" t="s">
        <v>5894</v>
      </c>
      <c r="H1157" s="9" t="s">
        <v>270</v>
      </c>
      <c r="I1157" s="9" t="s">
        <v>270</v>
      </c>
      <c r="J1157" s="9" t="s">
        <v>5895</v>
      </c>
      <c r="K1157" s="9" t="s">
        <v>68</v>
      </c>
      <c r="L1157" s="9" t="s">
        <v>1668</v>
      </c>
      <c r="M1157" s="9">
        <v>40</v>
      </c>
      <c r="N1157" s="9">
        <v>13</v>
      </c>
      <c r="O1157" s="9" t="s">
        <v>850</v>
      </c>
      <c r="P1157" s="9" t="s">
        <v>43</v>
      </c>
      <c r="Q1157" s="9">
        <v>2</v>
      </c>
      <c r="R1157" s="9">
        <v>0</v>
      </c>
      <c r="S1157" s="9">
        <v>2</v>
      </c>
      <c r="T1157" s="9">
        <v>2</v>
      </c>
      <c r="U1157" s="9">
        <v>0</v>
      </c>
      <c r="V1157" s="9" t="s">
        <v>114</v>
      </c>
      <c r="W1157" s="9">
        <v>0</v>
      </c>
      <c r="X1157" s="9">
        <v>0</v>
      </c>
      <c r="Y1157" s="9">
        <v>0</v>
      </c>
      <c r="Z1157" s="9">
        <v>0</v>
      </c>
      <c r="AA1157" s="9">
        <v>1</v>
      </c>
      <c r="AB1157" s="9">
        <v>2</v>
      </c>
      <c r="AC1157" s="9">
        <v>14</v>
      </c>
      <c r="AD1157" s="9" t="s">
        <v>0</v>
      </c>
      <c r="AE1157" s="9" t="s">
        <v>0</v>
      </c>
    </row>
    <row r="1158" spans="1:31" ht="25.5" x14ac:dyDescent="0.2">
      <c r="A1158" s="6" t="str">
        <f>HYPERLINK("http://www.patentics.cn/invokexml.do?sx=showpatent_cn&amp;sf=ShowPatent&amp;spn=CN102034238&amp;sx=showpatent_cn&amp;sv=abe253cb7ae73307037baacf12029122","CN102034238")</f>
        <v>CN102034238</v>
      </c>
      <c r="B1158" s="7" t="s">
        <v>5896</v>
      </c>
      <c r="C1158" s="7" t="s">
        <v>5897</v>
      </c>
      <c r="D1158" s="7" t="s">
        <v>3146</v>
      </c>
      <c r="E1158" s="7" t="s">
        <v>3146</v>
      </c>
      <c r="F1158" s="7" t="s">
        <v>5898</v>
      </c>
      <c r="G1158" s="7" t="s">
        <v>5899</v>
      </c>
      <c r="H1158" s="7" t="s">
        <v>5900</v>
      </c>
      <c r="I1158" s="7" t="s">
        <v>5900</v>
      </c>
      <c r="J1158" s="7" t="s">
        <v>5901</v>
      </c>
      <c r="K1158" s="7" t="s">
        <v>2163</v>
      </c>
      <c r="L1158" s="7" t="s">
        <v>3162</v>
      </c>
      <c r="M1158" s="7">
        <v>7</v>
      </c>
      <c r="N1158" s="7">
        <v>82</v>
      </c>
      <c r="O1158" s="7" t="s">
        <v>42</v>
      </c>
      <c r="P1158" s="7" t="s">
        <v>43</v>
      </c>
      <c r="Q1158" s="7">
        <v>5</v>
      </c>
      <c r="R1158" s="7">
        <v>1</v>
      </c>
      <c r="S1158" s="7">
        <v>4</v>
      </c>
      <c r="T1158" s="7">
        <v>5</v>
      </c>
      <c r="U1158" s="7">
        <v>4</v>
      </c>
      <c r="V1158" s="7" t="s">
        <v>5902</v>
      </c>
      <c r="W1158" s="7">
        <v>0</v>
      </c>
      <c r="X1158" s="7">
        <v>4</v>
      </c>
      <c r="Y1158" s="7">
        <v>4</v>
      </c>
      <c r="Z1158" s="7">
        <v>2</v>
      </c>
      <c r="AA1158" s="7">
        <v>1</v>
      </c>
      <c r="AB1158" s="7">
        <v>1</v>
      </c>
      <c r="AC1158" s="7" t="s">
        <v>0</v>
      </c>
      <c r="AD1158" s="7">
        <v>1</v>
      </c>
      <c r="AE1158" s="7" t="s">
        <v>60</v>
      </c>
    </row>
    <row r="1159" spans="1:31" ht="76.5" x14ac:dyDescent="0.2">
      <c r="A1159" s="8" t="str">
        <f>HYPERLINK("http://www.patentics.cn/invokexml.do?sx=showpatent_cn&amp;sf=ShowPatent&amp;spn=CN104145294B&amp;sx=showpatent_cn&amp;sv=908d765e2d8b0766669540f0e27f0f2a","CN104145294B")</f>
        <v>CN104145294B</v>
      </c>
      <c r="B1159" s="9" t="s">
        <v>5903</v>
      </c>
      <c r="C1159" s="9" t="s">
        <v>5904</v>
      </c>
      <c r="D1159" s="9" t="s">
        <v>301</v>
      </c>
      <c r="E1159" s="9" t="s">
        <v>301</v>
      </c>
      <c r="F1159" s="9" t="s">
        <v>5905</v>
      </c>
      <c r="G1159" s="9" t="s">
        <v>5906</v>
      </c>
      <c r="H1159" s="9" t="s">
        <v>483</v>
      </c>
      <c r="I1159" s="9" t="s">
        <v>5698</v>
      </c>
      <c r="J1159" s="9" t="s">
        <v>5907</v>
      </c>
      <c r="K1159" s="9" t="s">
        <v>2163</v>
      </c>
      <c r="L1159" s="9" t="s">
        <v>5908</v>
      </c>
      <c r="M1159" s="9">
        <v>17</v>
      </c>
      <c r="N1159" s="9">
        <v>17</v>
      </c>
      <c r="O1159" s="9" t="s">
        <v>57</v>
      </c>
      <c r="P1159" s="9" t="s">
        <v>58</v>
      </c>
      <c r="Q1159" s="9">
        <v>1</v>
      </c>
      <c r="R1159" s="9">
        <v>0</v>
      </c>
      <c r="S1159" s="9">
        <v>1</v>
      </c>
      <c r="T1159" s="9">
        <v>1</v>
      </c>
      <c r="U1159" s="9">
        <v>0</v>
      </c>
      <c r="V1159" s="9" t="s">
        <v>114</v>
      </c>
      <c r="W1159" s="9">
        <v>0</v>
      </c>
      <c r="X1159" s="9">
        <v>0</v>
      </c>
      <c r="Y1159" s="9">
        <v>0</v>
      </c>
      <c r="Z1159" s="9">
        <v>0</v>
      </c>
      <c r="AA1159" s="9">
        <v>9</v>
      </c>
      <c r="AB1159" s="9">
        <v>6</v>
      </c>
      <c r="AC1159" s="9">
        <v>14</v>
      </c>
      <c r="AD1159" s="9" t="s">
        <v>0</v>
      </c>
      <c r="AE1159" s="9" t="s">
        <v>60</v>
      </c>
    </row>
    <row r="1160" spans="1:31" ht="63.75" x14ac:dyDescent="0.2">
      <c r="A1160" s="6" t="str">
        <f>HYPERLINK("http://www.patentics.cn/invokexml.do?sx=showpatent_cn&amp;sf=ShowPatent&amp;spn=CN102012939&amp;sx=showpatent_cn&amp;sv=ce7795fd059896072726e0b3ec2aa8a5","CN102012939")</f>
        <v>CN102012939</v>
      </c>
      <c r="B1160" s="7" t="s">
        <v>5909</v>
      </c>
      <c r="C1160" s="7" t="s">
        <v>5910</v>
      </c>
      <c r="D1160" s="7" t="s">
        <v>2548</v>
      </c>
      <c r="E1160" s="7" t="s">
        <v>2549</v>
      </c>
      <c r="F1160" s="7" t="s">
        <v>5911</v>
      </c>
      <c r="G1160" s="7" t="s">
        <v>5912</v>
      </c>
      <c r="H1160" s="7" t="s">
        <v>5900</v>
      </c>
      <c r="I1160" s="7" t="s">
        <v>5900</v>
      </c>
      <c r="J1160" s="7" t="s">
        <v>5913</v>
      </c>
      <c r="K1160" s="7" t="s">
        <v>885</v>
      </c>
      <c r="L1160" s="7" t="s">
        <v>2325</v>
      </c>
      <c r="M1160" s="7">
        <v>5</v>
      </c>
      <c r="N1160" s="7">
        <v>43</v>
      </c>
      <c r="O1160" s="7" t="s">
        <v>42</v>
      </c>
      <c r="P1160" s="7" t="s">
        <v>43</v>
      </c>
      <c r="Q1160" s="7">
        <v>4</v>
      </c>
      <c r="R1160" s="7">
        <v>0</v>
      </c>
      <c r="S1160" s="7">
        <v>4</v>
      </c>
      <c r="T1160" s="7">
        <v>4</v>
      </c>
      <c r="U1160" s="7">
        <v>6</v>
      </c>
      <c r="V1160" s="7" t="s">
        <v>5914</v>
      </c>
      <c r="W1160" s="7">
        <v>0</v>
      </c>
      <c r="X1160" s="7">
        <v>6</v>
      </c>
      <c r="Y1160" s="7">
        <v>5</v>
      </c>
      <c r="Z1160" s="7">
        <v>2</v>
      </c>
      <c r="AA1160" s="7">
        <v>1</v>
      </c>
      <c r="AB1160" s="7">
        <v>1</v>
      </c>
      <c r="AC1160" s="7" t="s">
        <v>0</v>
      </c>
      <c r="AD1160" s="7">
        <v>1</v>
      </c>
      <c r="AE1160" s="7" t="s">
        <v>60</v>
      </c>
    </row>
    <row r="1161" spans="1:31" ht="178.5" x14ac:dyDescent="0.2">
      <c r="A1161" s="8" t="str">
        <f>HYPERLINK("http://www.patentics.cn/invokexml.do?sx=showpatent_cn&amp;sf=ShowPatent&amp;spn=US9692991&amp;sx=showpatent_cn&amp;sv=2851e91d37ba1429ffea72127c242cf6","US9692991")</f>
        <v>US9692991</v>
      </c>
      <c r="B1161" s="9" t="s">
        <v>5714</v>
      </c>
      <c r="C1161" s="9" t="s">
        <v>5715</v>
      </c>
      <c r="D1161" s="9" t="s">
        <v>48</v>
      </c>
      <c r="E1161" s="9" t="s">
        <v>49</v>
      </c>
      <c r="F1161" s="9" t="s">
        <v>5716</v>
      </c>
      <c r="G1161" s="9" t="s">
        <v>5717</v>
      </c>
      <c r="H1161" s="9" t="s">
        <v>5718</v>
      </c>
      <c r="I1161" s="9" t="s">
        <v>5719</v>
      </c>
      <c r="J1161" s="9" t="s">
        <v>298</v>
      </c>
      <c r="K1161" s="9" t="s">
        <v>714</v>
      </c>
      <c r="L1161" s="9" t="s">
        <v>5720</v>
      </c>
      <c r="M1161" s="9">
        <v>24</v>
      </c>
      <c r="N1161" s="9">
        <v>21</v>
      </c>
      <c r="O1161" s="9" t="s">
        <v>57</v>
      </c>
      <c r="P1161" s="9" t="s">
        <v>58</v>
      </c>
      <c r="Q1161" s="9">
        <v>36</v>
      </c>
      <c r="R1161" s="9">
        <v>0</v>
      </c>
      <c r="S1161" s="9">
        <v>36</v>
      </c>
      <c r="T1161" s="9">
        <v>25</v>
      </c>
      <c r="U1161" s="9">
        <v>0</v>
      </c>
      <c r="V1161" s="9" t="s">
        <v>114</v>
      </c>
      <c r="W1161" s="9">
        <v>0</v>
      </c>
      <c r="X1161" s="9">
        <v>0</v>
      </c>
      <c r="Y1161" s="9">
        <v>0</v>
      </c>
      <c r="Z1161" s="9">
        <v>0</v>
      </c>
      <c r="AA1161" s="9">
        <v>10</v>
      </c>
      <c r="AB1161" s="9">
        <v>7</v>
      </c>
      <c r="AC1161" s="9">
        <v>14</v>
      </c>
      <c r="AD1161" s="9" t="s">
        <v>0</v>
      </c>
      <c r="AE1161" s="9" t="s">
        <v>60</v>
      </c>
    </row>
    <row r="1162" spans="1:31" ht="38.25" x14ac:dyDescent="0.2">
      <c r="A1162" s="6" t="str">
        <f>HYPERLINK("http://www.patentics.cn/invokexml.do?sx=showpatent_cn&amp;sf=ShowPatent&amp;spn=CN101996266&amp;sx=showpatent_cn&amp;sv=4e3354c0b902d6923e06ebd7b290899f","CN101996266")</f>
        <v>CN101996266</v>
      </c>
      <c r="B1162" s="7" t="s">
        <v>5915</v>
      </c>
      <c r="C1162" s="7" t="s">
        <v>5916</v>
      </c>
      <c r="D1162" s="7" t="s">
        <v>524</v>
      </c>
      <c r="E1162" s="7" t="s">
        <v>524</v>
      </c>
      <c r="F1162" s="7" t="s">
        <v>5917</v>
      </c>
      <c r="G1162" s="7" t="s">
        <v>5851</v>
      </c>
      <c r="H1162" s="7" t="s">
        <v>5918</v>
      </c>
      <c r="I1162" s="7" t="s">
        <v>5918</v>
      </c>
      <c r="J1162" s="7" t="s">
        <v>4828</v>
      </c>
      <c r="K1162" s="7" t="s">
        <v>885</v>
      </c>
      <c r="L1162" s="7" t="s">
        <v>5781</v>
      </c>
      <c r="M1162" s="7">
        <v>6</v>
      </c>
      <c r="N1162" s="7">
        <v>14</v>
      </c>
      <c r="O1162" s="7" t="s">
        <v>42</v>
      </c>
      <c r="P1162" s="7" t="s">
        <v>43</v>
      </c>
      <c r="Q1162" s="7">
        <v>0</v>
      </c>
      <c r="R1162" s="7">
        <v>0</v>
      </c>
      <c r="S1162" s="7">
        <v>0</v>
      </c>
      <c r="T1162" s="7">
        <v>0</v>
      </c>
      <c r="U1162" s="7">
        <v>1</v>
      </c>
      <c r="V1162" s="7" t="s">
        <v>78</v>
      </c>
      <c r="W1162" s="7">
        <v>0</v>
      </c>
      <c r="X1162" s="7">
        <v>1</v>
      </c>
      <c r="Y1162" s="7">
        <v>1</v>
      </c>
      <c r="Z1162" s="7">
        <v>1</v>
      </c>
      <c r="AA1162" s="7">
        <v>1</v>
      </c>
      <c r="AB1162" s="7">
        <v>1</v>
      </c>
      <c r="AC1162" s="7" t="s">
        <v>0</v>
      </c>
      <c r="AD1162" s="7">
        <v>1</v>
      </c>
      <c r="AE1162" s="7" t="s">
        <v>60</v>
      </c>
    </row>
    <row r="1163" spans="1:31" ht="51" x14ac:dyDescent="0.2">
      <c r="A1163" s="8" t="str">
        <f>HYPERLINK("http://www.patentics.cn/invokexml.do?sx=showpatent_cn&amp;sf=ShowPatent&amp;spn=CN103597424B&amp;sx=showpatent_cn&amp;sv=02406510d243d79b3b5c8a675ab6b3cb","CN103597424B")</f>
        <v>CN103597424B</v>
      </c>
      <c r="B1163" s="9" t="s">
        <v>5919</v>
      </c>
      <c r="C1163" s="9" t="s">
        <v>5920</v>
      </c>
      <c r="D1163" s="9" t="s">
        <v>301</v>
      </c>
      <c r="E1163" s="9" t="s">
        <v>301</v>
      </c>
      <c r="F1163" s="9" t="s">
        <v>5921</v>
      </c>
      <c r="G1163" s="9" t="s">
        <v>5922</v>
      </c>
      <c r="H1163" s="9" t="s">
        <v>2171</v>
      </c>
      <c r="I1163" s="9" t="s">
        <v>5923</v>
      </c>
      <c r="J1163" s="9" t="s">
        <v>1667</v>
      </c>
      <c r="K1163" s="9" t="s">
        <v>885</v>
      </c>
      <c r="L1163" s="9" t="s">
        <v>1300</v>
      </c>
      <c r="M1163" s="9">
        <v>24</v>
      </c>
      <c r="N1163" s="9">
        <v>9</v>
      </c>
      <c r="O1163" s="9" t="s">
        <v>57</v>
      </c>
      <c r="P1163" s="9" t="s">
        <v>58</v>
      </c>
      <c r="Q1163" s="9">
        <v>5</v>
      </c>
      <c r="R1163" s="9">
        <v>0</v>
      </c>
      <c r="S1163" s="9">
        <v>5</v>
      </c>
      <c r="T1163" s="9">
        <v>5</v>
      </c>
      <c r="U1163" s="9">
        <v>0</v>
      </c>
      <c r="V1163" s="9" t="s">
        <v>114</v>
      </c>
      <c r="W1163" s="9">
        <v>0</v>
      </c>
      <c r="X1163" s="9">
        <v>0</v>
      </c>
      <c r="Y1163" s="9">
        <v>0</v>
      </c>
      <c r="Z1163" s="9">
        <v>0</v>
      </c>
      <c r="AA1163" s="9">
        <v>14</v>
      </c>
      <c r="AB1163" s="9">
        <v>9</v>
      </c>
      <c r="AC1163" s="9">
        <v>14</v>
      </c>
      <c r="AD1163" s="9" t="s">
        <v>0</v>
      </c>
      <c r="AE1163" s="9" t="s">
        <v>60</v>
      </c>
    </row>
    <row r="1164" spans="1:31" ht="25.5" x14ac:dyDescent="0.2">
      <c r="A1164" s="6" t="str">
        <f>HYPERLINK("http://www.patentics.cn/invokexml.do?sx=showpatent_cn&amp;sf=ShowPatent&amp;spn=CN101986666&amp;sx=showpatent_cn&amp;sv=e24264aba22c76ff8264326a6382b0fb","CN101986666")</f>
        <v>CN101986666</v>
      </c>
      <c r="B1164" s="7" t="s">
        <v>5924</v>
      </c>
      <c r="C1164" s="7" t="s">
        <v>5925</v>
      </c>
      <c r="D1164" s="7" t="s">
        <v>1383</v>
      </c>
      <c r="E1164" s="7" t="s">
        <v>1383</v>
      </c>
      <c r="F1164" s="7" t="s">
        <v>5926</v>
      </c>
      <c r="G1164" s="7" t="s">
        <v>5927</v>
      </c>
      <c r="H1164" s="7" t="s">
        <v>5928</v>
      </c>
      <c r="I1164" s="7" t="s">
        <v>5928</v>
      </c>
      <c r="J1164" s="7" t="s">
        <v>2162</v>
      </c>
      <c r="K1164" s="7" t="s">
        <v>68</v>
      </c>
      <c r="L1164" s="7" t="s">
        <v>4251</v>
      </c>
      <c r="M1164" s="7">
        <v>4</v>
      </c>
      <c r="N1164" s="7">
        <v>21</v>
      </c>
      <c r="O1164" s="7" t="s">
        <v>42</v>
      </c>
      <c r="P1164" s="7" t="s">
        <v>43</v>
      </c>
      <c r="Q1164" s="7">
        <v>3</v>
      </c>
      <c r="R1164" s="7">
        <v>0</v>
      </c>
      <c r="S1164" s="7">
        <v>3</v>
      </c>
      <c r="T1164" s="7">
        <v>2</v>
      </c>
      <c r="U1164" s="7">
        <v>7</v>
      </c>
      <c r="V1164" s="7" t="s">
        <v>5929</v>
      </c>
      <c r="W1164" s="7">
        <v>0</v>
      </c>
      <c r="X1164" s="7">
        <v>7</v>
      </c>
      <c r="Y1164" s="7">
        <v>5</v>
      </c>
      <c r="Z1164" s="7">
        <v>2</v>
      </c>
      <c r="AA1164" s="7">
        <v>1</v>
      </c>
      <c r="AB1164" s="7">
        <v>1</v>
      </c>
      <c r="AC1164" s="7" t="s">
        <v>0</v>
      </c>
      <c r="AD1164" s="7">
        <v>1</v>
      </c>
      <c r="AE1164" s="7" t="s">
        <v>60</v>
      </c>
    </row>
    <row r="1165" spans="1:31" ht="38.25" x14ac:dyDescent="0.2">
      <c r="A1165" s="8" t="str">
        <f>HYPERLINK("http://www.patentics.cn/invokexml.do?sx=showpatent_cn&amp;sf=ShowPatent&amp;spn=CN104040996B&amp;sx=showpatent_cn&amp;sv=b902e55b0ca45f97cd4ee392bf35f96c","CN104040996B")</f>
        <v>CN104040996B</v>
      </c>
      <c r="B1165" s="9" t="s">
        <v>5930</v>
      </c>
      <c r="C1165" s="9" t="s">
        <v>5931</v>
      </c>
      <c r="D1165" s="9" t="s">
        <v>301</v>
      </c>
      <c r="E1165" s="9" t="s">
        <v>301</v>
      </c>
      <c r="F1165" s="9" t="s">
        <v>5932</v>
      </c>
      <c r="G1165" s="9" t="s">
        <v>5933</v>
      </c>
      <c r="H1165" s="9" t="s">
        <v>5439</v>
      </c>
      <c r="I1165" s="9" t="s">
        <v>5320</v>
      </c>
      <c r="J1165" s="9" t="s">
        <v>5934</v>
      </c>
      <c r="K1165" s="9" t="s">
        <v>68</v>
      </c>
      <c r="L1165" s="9" t="s">
        <v>2436</v>
      </c>
      <c r="M1165" s="9">
        <v>19</v>
      </c>
      <c r="N1165" s="9">
        <v>22</v>
      </c>
      <c r="O1165" s="9" t="s">
        <v>57</v>
      </c>
      <c r="P1165" s="9" t="s">
        <v>58</v>
      </c>
      <c r="Q1165" s="9">
        <v>3</v>
      </c>
      <c r="R1165" s="9">
        <v>0</v>
      </c>
      <c r="S1165" s="9">
        <v>3</v>
      </c>
      <c r="T1165" s="9">
        <v>2</v>
      </c>
      <c r="U1165" s="9">
        <v>0</v>
      </c>
      <c r="V1165" s="9" t="s">
        <v>114</v>
      </c>
      <c r="W1165" s="9">
        <v>0</v>
      </c>
      <c r="X1165" s="9">
        <v>0</v>
      </c>
      <c r="Y1165" s="9">
        <v>0</v>
      </c>
      <c r="Z1165" s="9">
        <v>0</v>
      </c>
      <c r="AA1165" s="9">
        <v>0</v>
      </c>
      <c r="AB1165" s="9">
        <v>0</v>
      </c>
      <c r="AC1165" s="9">
        <v>14</v>
      </c>
      <c r="AD1165" s="9" t="s">
        <v>0</v>
      </c>
      <c r="AE1165" s="9" t="s">
        <v>60</v>
      </c>
    </row>
    <row r="1166" spans="1:31" ht="38.25" x14ac:dyDescent="0.2">
      <c r="A1166" s="6" t="str">
        <f>HYPERLINK("http://www.patentics.cn/invokexml.do?sx=showpatent_cn&amp;sf=ShowPatent&amp;spn=CN101984454&amp;sx=showpatent_cn&amp;sv=21b0fd1f74d2cd58d665d71eeae33705","CN101984454")</f>
        <v>CN101984454</v>
      </c>
      <c r="B1166" s="7" t="s">
        <v>5935</v>
      </c>
      <c r="C1166" s="7" t="s">
        <v>5936</v>
      </c>
      <c r="D1166" s="7" t="s">
        <v>4264</v>
      </c>
      <c r="E1166" s="7" t="s">
        <v>4264</v>
      </c>
      <c r="F1166" s="7" t="s">
        <v>5937</v>
      </c>
      <c r="G1166" s="7" t="s">
        <v>5938</v>
      </c>
      <c r="H1166" s="7" t="s">
        <v>3871</v>
      </c>
      <c r="I1166" s="7" t="s">
        <v>3871</v>
      </c>
      <c r="J1166" s="7" t="s">
        <v>5939</v>
      </c>
      <c r="K1166" s="7" t="s">
        <v>529</v>
      </c>
      <c r="L1166" s="7" t="s">
        <v>1424</v>
      </c>
      <c r="M1166" s="7">
        <v>1</v>
      </c>
      <c r="N1166" s="7">
        <v>59</v>
      </c>
      <c r="O1166" s="7" t="s">
        <v>42</v>
      </c>
      <c r="P1166" s="7" t="s">
        <v>43</v>
      </c>
      <c r="Q1166" s="7">
        <v>2</v>
      </c>
      <c r="R1166" s="7">
        <v>0</v>
      </c>
      <c r="S1166" s="7">
        <v>2</v>
      </c>
      <c r="T1166" s="7">
        <v>2</v>
      </c>
      <c r="U1166" s="7">
        <v>4</v>
      </c>
      <c r="V1166" s="7" t="s">
        <v>4405</v>
      </c>
      <c r="W1166" s="7">
        <v>0</v>
      </c>
      <c r="X1166" s="7">
        <v>4</v>
      </c>
      <c r="Y1166" s="7">
        <v>3</v>
      </c>
      <c r="Z1166" s="7">
        <v>2</v>
      </c>
      <c r="AA1166" s="7">
        <v>1</v>
      </c>
      <c r="AB1166" s="7">
        <v>1</v>
      </c>
      <c r="AC1166" s="7" t="s">
        <v>0</v>
      </c>
      <c r="AD1166" s="7">
        <v>1</v>
      </c>
      <c r="AE1166" s="7" t="s">
        <v>532</v>
      </c>
    </row>
    <row r="1167" spans="1:31" ht="63.75" x14ac:dyDescent="0.2">
      <c r="A1167" s="8" t="str">
        <f>HYPERLINK("http://www.patentics.cn/invokexml.do?sx=showpatent_cn&amp;sf=ShowPatent&amp;spn=CN103460221B&amp;sx=showpatent_cn&amp;sv=0bf5ec12b1c983661b761e9fa0ffc143","CN103460221B")</f>
        <v>CN103460221B</v>
      </c>
      <c r="B1167" s="9" t="s">
        <v>5940</v>
      </c>
      <c r="C1167" s="9" t="s">
        <v>5941</v>
      </c>
      <c r="D1167" s="9" t="s">
        <v>301</v>
      </c>
      <c r="E1167" s="9" t="s">
        <v>301</v>
      </c>
      <c r="F1167" s="9" t="s">
        <v>5942</v>
      </c>
      <c r="G1167" s="9" t="s">
        <v>5943</v>
      </c>
      <c r="H1167" s="9" t="s">
        <v>5944</v>
      </c>
      <c r="I1167" s="9" t="s">
        <v>4834</v>
      </c>
      <c r="J1167" s="9" t="s">
        <v>414</v>
      </c>
      <c r="K1167" s="9" t="s">
        <v>529</v>
      </c>
      <c r="L1167" s="9" t="s">
        <v>1432</v>
      </c>
      <c r="M1167" s="9">
        <v>21</v>
      </c>
      <c r="N1167" s="9">
        <v>8</v>
      </c>
      <c r="O1167" s="9" t="s">
        <v>57</v>
      </c>
      <c r="P1167" s="9" t="s">
        <v>58</v>
      </c>
      <c r="Q1167" s="9">
        <v>3</v>
      </c>
      <c r="R1167" s="9">
        <v>0</v>
      </c>
      <c r="S1167" s="9">
        <v>3</v>
      </c>
      <c r="T1167" s="9">
        <v>3</v>
      </c>
      <c r="U1167" s="9">
        <v>0</v>
      </c>
      <c r="V1167" s="9" t="s">
        <v>114</v>
      </c>
      <c r="W1167" s="9">
        <v>0</v>
      </c>
      <c r="X1167" s="9">
        <v>0</v>
      </c>
      <c r="Y1167" s="9">
        <v>0</v>
      </c>
      <c r="Z1167" s="9">
        <v>0</v>
      </c>
      <c r="AA1167" s="9">
        <v>0</v>
      </c>
      <c r="AB1167" s="9">
        <v>0</v>
      </c>
      <c r="AC1167" s="9">
        <v>14</v>
      </c>
      <c r="AD1167" s="9" t="s">
        <v>0</v>
      </c>
      <c r="AE1167" s="9" t="s">
        <v>60</v>
      </c>
    </row>
    <row r="1168" spans="1:31" ht="51" x14ac:dyDescent="0.2">
      <c r="A1168" s="6" t="str">
        <f>HYPERLINK("http://www.patentics.cn/invokexml.do?sx=showpatent_cn&amp;sf=ShowPatent&amp;spn=CN101977443&amp;sx=showpatent_cn&amp;sv=b73ca95842ba3df4f79fe00332d66eb9","CN101977443")</f>
        <v>CN101977443</v>
      </c>
      <c r="B1168" s="7" t="s">
        <v>5945</v>
      </c>
      <c r="C1168" s="7" t="s">
        <v>5946</v>
      </c>
      <c r="D1168" s="7" t="s">
        <v>1097</v>
      </c>
      <c r="E1168" s="7" t="s">
        <v>1097</v>
      </c>
      <c r="F1168" s="7" t="s">
        <v>5947</v>
      </c>
      <c r="G1168" s="7" t="s">
        <v>5948</v>
      </c>
      <c r="H1168" s="7" t="s">
        <v>0</v>
      </c>
      <c r="I1168" s="7" t="s">
        <v>2161</v>
      </c>
      <c r="J1168" s="7" t="s">
        <v>3500</v>
      </c>
      <c r="K1168" s="7" t="s">
        <v>55</v>
      </c>
      <c r="L1168" s="7" t="s">
        <v>5949</v>
      </c>
      <c r="M1168" s="7">
        <v>7</v>
      </c>
      <c r="N1168" s="7">
        <v>36</v>
      </c>
      <c r="O1168" s="7" t="s">
        <v>42</v>
      </c>
      <c r="P1168" s="7" t="s">
        <v>43</v>
      </c>
      <c r="Q1168" s="7">
        <v>3</v>
      </c>
      <c r="R1168" s="7">
        <v>0</v>
      </c>
      <c r="S1168" s="7">
        <v>3</v>
      </c>
      <c r="T1168" s="7">
        <v>2</v>
      </c>
      <c r="U1168" s="7">
        <v>5</v>
      </c>
      <c r="V1168" s="7" t="s">
        <v>5950</v>
      </c>
      <c r="W1168" s="7">
        <v>0</v>
      </c>
      <c r="X1168" s="7">
        <v>5</v>
      </c>
      <c r="Y1168" s="7">
        <v>4</v>
      </c>
      <c r="Z1168" s="7">
        <v>2</v>
      </c>
      <c r="AA1168" s="7">
        <v>0</v>
      </c>
      <c r="AB1168" s="7">
        <v>0</v>
      </c>
      <c r="AC1168" s="7" t="s">
        <v>0</v>
      </c>
      <c r="AD1168" s="7">
        <v>1</v>
      </c>
      <c r="AE1168" s="7" t="s">
        <v>60</v>
      </c>
    </row>
    <row r="1169" spans="1:31" ht="38.25" x14ac:dyDescent="0.2">
      <c r="A1169" s="8" t="str">
        <f>HYPERLINK("http://www.patentics.cn/invokexml.do?sx=showpatent_cn&amp;sf=ShowPatent&amp;spn=CN103748939B&amp;sx=showpatent_cn&amp;sv=300a5564cc2c27403e36b9463b2c5827","CN103748939B")</f>
        <v>CN103748939B</v>
      </c>
      <c r="B1169" s="9" t="s">
        <v>5951</v>
      </c>
      <c r="C1169" s="9" t="s">
        <v>5952</v>
      </c>
      <c r="D1169" s="9" t="s">
        <v>301</v>
      </c>
      <c r="E1169" s="9" t="s">
        <v>301</v>
      </c>
      <c r="F1169" s="9" t="s">
        <v>5953</v>
      </c>
      <c r="G1169" s="9" t="s">
        <v>5954</v>
      </c>
      <c r="H1169" s="9" t="s">
        <v>5955</v>
      </c>
      <c r="I1169" s="9" t="s">
        <v>3439</v>
      </c>
      <c r="J1169" s="9" t="s">
        <v>5956</v>
      </c>
      <c r="K1169" s="9" t="s">
        <v>55</v>
      </c>
      <c r="L1169" s="9" t="s">
        <v>5957</v>
      </c>
      <c r="M1169" s="9">
        <v>24</v>
      </c>
      <c r="N1169" s="9">
        <v>17</v>
      </c>
      <c r="O1169" s="9" t="s">
        <v>57</v>
      </c>
      <c r="P1169" s="9" t="s">
        <v>58</v>
      </c>
      <c r="Q1169" s="9">
        <v>4</v>
      </c>
      <c r="R1169" s="9">
        <v>0</v>
      </c>
      <c r="S1169" s="9">
        <v>4</v>
      </c>
      <c r="T1169" s="9">
        <v>4</v>
      </c>
      <c r="U1169" s="9">
        <v>0</v>
      </c>
      <c r="V1169" s="9" t="s">
        <v>114</v>
      </c>
      <c r="W1169" s="9">
        <v>0</v>
      </c>
      <c r="X1169" s="9">
        <v>0</v>
      </c>
      <c r="Y1169" s="9">
        <v>0</v>
      </c>
      <c r="Z1169" s="9">
        <v>0</v>
      </c>
      <c r="AA1169" s="9">
        <v>0</v>
      </c>
      <c r="AB1169" s="9">
        <v>0</v>
      </c>
      <c r="AC1169" s="9">
        <v>14</v>
      </c>
      <c r="AD1169" s="9" t="s">
        <v>0</v>
      </c>
      <c r="AE1169" s="9" t="s">
        <v>60</v>
      </c>
    </row>
    <row r="1170" spans="1:31" ht="51" x14ac:dyDescent="0.2">
      <c r="A1170" s="6" t="str">
        <f>HYPERLINK("http://www.patentics.cn/invokexml.do?sx=showpatent_cn&amp;sf=ShowPatent&amp;spn=CN101965612&amp;sx=showpatent_cn&amp;sv=e9285806742d86feb65800e0700c73b4","CN101965612")</f>
        <v>CN101965612</v>
      </c>
      <c r="B1170" s="7" t="s">
        <v>5958</v>
      </c>
      <c r="C1170" s="7" t="s">
        <v>5959</v>
      </c>
      <c r="D1170" s="7" t="s">
        <v>5960</v>
      </c>
      <c r="E1170" s="7" t="s">
        <v>5961</v>
      </c>
      <c r="F1170" s="7" t="s">
        <v>5962</v>
      </c>
      <c r="G1170" s="7" t="s">
        <v>5963</v>
      </c>
      <c r="H1170" s="7" t="s">
        <v>1992</v>
      </c>
      <c r="I1170" s="7" t="s">
        <v>5964</v>
      </c>
      <c r="J1170" s="7" t="s">
        <v>5965</v>
      </c>
      <c r="K1170" s="7" t="s">
        <v>1486</v>
      </c>
      <c r="L1170" s="7" t="s">
        <v>1487</v>
      </c>
      <c r="M1170" s="7">
        <v>15</v>
      </c>
      <c r="N1170" s="7">
        <v>19</v>
      </c>
      <c r="O1170" s="7" t="s">
        <v>42</v>
      </c>
      <c r="P1170" s="7" t="s">
        <v>58</v>
      </c>
      <c r="Q1170" s="7">
        <v>0</v>
      </c>
      <c r="R1170" s="7">
        <v>0</v>
      </c>
      <c r="S1170" s="7">
        <v>0</v>
      </c>
      <c r="T1170" s="7">
        <v>0</v>
      </c>
      <c r="U1170" s="7">
        <v>9</v>
      </c>
      <c r="V1170" s="7" t="s">
        <v>5966</v>
      </c>
      <c r="W1170" s="7">
        <v>0</v>
      </c>
      <c r="X1170" s="7">
        <v>9</v>
      </c>
      <c r="Y1170" s="7">
        <v>6</v>
      </c>
      <c r="Z1170" s="7">
        <v>3</v>
      </c>
      <c r="AA1170" s="7">
        <v>18</v>
      </c>
      <c r="AB1170" s="7">
        <v>11</v>
      </c>
      <c r="AC1170" s="7" t="s">
        <v>0</v>
      </c>
      <c r="AD1170" s="7">
        <v>1</v>
      </c>
      <c r="AE1170" s="7" t="s">
        <v>60</v>
      </c>
    </row>
    <row r="1171" spans="1:31" ht="63.75" x14ac:dyDescent="0.2">
      <c r="A1171" s="8" t="str">
        <f>HYPERLINK("http://www.patentics.cn/invokexml.do?sx=showpatent_cn&amp;sf=ShowPatent&amp;spn=CN104040626B&amp;sx=showpatent_cn&amp;sv=d3ea2a952205f6e3c10cd78204c94c0c","CN104040626B")</f>
        <v>CN104040626B</v>
      </c>
      <c r="B1171" s="9" t="s">
        <v>5840</v>
      </c>
      <c r="C1171" s="9" t="s">
        <v>5841</v>
      </c>
      <c r="D1171" s="9" t="s">
        <v>301</v>
      </c>
      <c r="E1171" s="9" t="s">
        <v>301</v>
      </c>
      <c r="F1171" s="9" t="s">
        <v>5842</v>
      </c>
      <c r="G1171" s="9" t="s">
        <v>5843</v>
      </c>
      <c r="H1171" s="9" t="s">
        <v>5844</v>
      </c>
      <c r="I1171" s="9" t="s">
        <v>5845</v>
      </c>
      <c r="J1171" s="9" t="s">
        <v>5846</v>
      </c>
      <c r="K1171" s="9" t="s">
        <v>1486</v>
      </c>
      <c r="L1171" s="9" t="s">
        <v>5847</v>
      </c>
      <c r="M1171" s="9">
        <v>40</v>
      </c>
      <c r="N1171" s="9">
        <v>12</v>
      </c>
      <c r="O1171" s="9" t="s">
        <v>57</v>
      </c>
      <c r="P1171" s="9" t="s">
        <v>58</v>
      </c>
      <c r="Q1171" s="9">
        <v>12</v>
      </c>
      <c r="R1171" s="9">
        <v>2</v>
      </c>
      <c r="S1171" s="9">
        <v>10</v>
      </c>
      <c r="T1171" s="9">
        <v>10</v>
      </c>
      <c r="U1171" s="9">
        <v>0</v>
      </c>
      <c r="V1171" s="9" t="s">
        <v>114</v>
      </c>
      <c r="W1171" s="9">
        <v>0</v>
      </c>
      <c r="X1171" s="9">
        <v>0</v>
      </c>
      <c r="Y1171" s="9">
        <v>0</v>
      </c>
      <c r="Z1171" s="9">
        <v>0</v>
      </c>
      <c r="AA1171" s="9">
        <v>0</v>
      </c>
      <c r="AB1171" s="9">
        <v>0</v>
      </c>
      <c r="AC1171" s="9">
        <v>14</v>
      </c>
      <c r="AD1171" s="9" t="s">
        <v>0</v>
      </c>
      <c r="AE1171" s="9" t="s">
        <v>60</v>
      </c>
    </row>
    <row r="1172" spans="1:31" ht="25.5" x14ac:dyDescent="0.2">
      <c r="A1172" s="6" t="str">
        <f>HYPERLINK("http://www.patentics.cn/invokexml.do?sx=showpatent_cn&amp;sf=ShowPatent&amp;spn=CN101951516&amp;sx=showpatent_cn&amp;sv=572e5c87852fc6234fa59c4866c58fed","CN101951516")</f>
        <v>CN101951516</v>
      </c>
      <c r="B1172" s="7" t="s">
        <v>5967</v>
      </c>
      <c r="C1172" s="7" t="s">
        <v>5968</v>
      </c>
      <c r="D1172" s="7" t="s">
        <v>1383</v>
      </c>
      <c r="E1172" s="7" t="s">
        <v>1383</v>
      </c>
      <c r="F1172" s="7" t="s">
        <v>5969</v>
      </c>
      <c r="G1172" s="7" t="s">
        <v>5970</v>
      </c>
      <c r="H1172" s="7" t="s">
        <v>3486</v>
      </c>
      <c r="I1172" s="7" t="s">
        <v>3486</v>
      </c>
      <c r="J1172" s="7" t="s">
        <v>5971</v>
      </c>
      <c r="K1172" s="7" t="s">
        <v>714</v>
      </c>
      <c r="L1172" s="7" t="s">
        <v>1346</v>
      </c>
      <c r="M1172" s="7">
        <v>9</v>
      </c>
      <c r="N1172" s="7">
        <v>18</v>
      </c>
      <c r="O1172" s="7" t="s">
        <v>42</v>
      </c>
      <c r="P1172" s="7" t="s">
        <v>43</v>
      </c>
      <c r="Q1172" s="7">
        <v>4</v>
      </c>
      <c r="R1172" s="7">
        <v>1</v>
      </c>
      <c r="S1172" s="7">
        <v>3</v>
      </c>
      <c r="T1172" s="7">
        <v>3</v>
      </c>
      <c r="U1172" s="7">
        <v>11</v>
      </c>
      <c r="V1172" s="7" t="s">
        <v>5972</v>
      </c>
      <c r="W1172" s="7">
        <v>0</v>
      </c>
      <c r="X1172" s="7">
        <v>11</v>
      </c>
      <c r="Y1172" s="7">
        <v>8</v>
      </c>
      <c r="Z1172" s="7">
        <v>3</v>
      </c>
      <c r="AA1172" s="7">
        <v>1</v>
      </c>
      <c r="AB1172" s="7">
        <v>1</v>
      </c>
      <c r="AC1172" s="7" t="s">
        <v>0</v>
      </c>
      <c r="AD1172" s="7">
        <v>1</v>
      </c>
      <c r="AE1172" s="7" t="s">
        <v>60</v>
      </c>
    </row>
    <row r="1173" spans="1:31" ht="51" x14ac:dyDescent="0.2">
      <c r="A1173" s="8" t="str">
        <f>HYPERLINK("http://www.patentics.cn/invokexml.do?sx=showpatent_cn&amp;sf=ShowPatent&amp;spn=CN104025457B&amp;sx=showpatent_cn&amp;sv=e401e83a0db72746e078815e5ec67c98","CN104025457B")</f>
        <v>CN104025457B</v>
      </c>
      <c r="B1173" s="9" t="s">
        <v>5973</v>
      </c>
      <c r="C1173" s="9" t="s">
        <v>5974</v>
      </c>
      <c r="D1173" s="9" t="s">
        <v>301</v>
      </c>
      <c r="E1173" s="9" t="s">
        <v>301</v>
      </c>
      <c r="F1173" s="9" t="s">
        <v>5975</v>
      </c>
      <c r="G1173" s="9" t="s">
        <v>5976</v>
      </c>
      <c r="H1173" s="9" t="s">
        <v>1799</v>
      </c>
      <c r="I1173" s="9" t="s">
        <v>5669</v>
      </c>
      <c r="J1173" s="9" t="s">
        <v>5977</v>
      </c>
      <c r="K1173" s="9" t="s">
        <v>1529</v>
      </c>
      <c r="L1173" s="9" t="s">
        <v>3427</v>
      </c>
      <c r="M1173" s="9">
        <v>20</v>
      </c>
      <c r="N1173" s="9">
        <v>19</v>
      </c>
      <c r="O1173" s="9" t="s">
        <v>57</v>
      </c>
      <c r="P1173" s="9" t="s">
        <v>58</v>
      </c>
      <c r="Q1173" s="9">
        <v>2</v>
      </c>
      <c r="R1173" s="9">
        <v>0</v>
      </c>
      <c r="S1173" s="9">
        <v>2</v>
      </c>
      <c r="T1173" s="9">
        <v>2</v>
      </c>
      <c r="U1173" s="9">
        <v>0</v>
      </c>
      <c r="V1173" s="9" t="s">
        <v>114</v>
      </c>
      <c r="W1173" s="9">
        <v>0</v>
      </c>
      <c r="X1173" s="9">
        <v>0</v>
      </c>
      <c r="Y1173" s="9">
        <v>0</v>
      </c>
      <c r="Z1173" s="9">
        <v>0</v>
      </c>
      <c r="AA1173" s="9">
        <v>0</v>
      </c>
      <c r="AB1173" s="9">
        <v>0</v>
      </c>
      <c r="AC1173" s="9">
        <v>14</v>
      </c>
      <c r="AD1173" s="9" t="s">
        <v>0</v>
      </c>
      <c r="AE1173" s="9" t="s">
        <v>60</v>
      </c>
    </row>
    <row r="1174" spans="1:31" ht="51" x14ac:dyDescent="0.2">
      <c r="A1174" s="6" t="str">
        <f>HYPERLINK("http://www.patentics.cn/invokexml.do?sx=showpatent_cn&amp;sf=ShowPatent&amp;spn=CN101932054&amp;sx=showpatent_cn&amp;sv=e751a9dcf637b468f81eb5e329b7428a","CN101932054")</f>
        <v>CN101932054</v>
      </c>
      <c r="B1174" s="7" t="s">
        <v>5978</v>
      </c>
      <c r="C1174" s="7" t="s">
        <v>5979</v>
      </c>
      <c r="D1174" s="7" t="s">
        <v>4056</v>
      </c>
      <c r="E1174" s="7" t="s">
        <v>4056</v>
      </c>
      <c r="F1174" s="7" t="s">
        <v>5980</v>
      </c>
      <c r="G1174" s="7" t="s">
        <v>5981</v>
      </c>
      <c r="H1174" s="7" t="s">
        <v>2500</v>
      </c>
      <c r="I1174" s="7" t="s">
        <v>2500</v>
      </c>
      <c r="J1174" s="7" t="s">
        <v>5982</v>
      </c>
      <c r="K1174" s="7" t="s">
        <v>55</v>
      </c>
      <c r="L1174" s="7" t="s">
        <v>5629</v>
      </c>
      <c r="M1174" s="7">
        <v>7</v>
      </c>
      <c r="N1174" s="7">
        <v>26</v>
      </c>
      <c r="O1174" s="7" t="s">
        <v>42</v>
      </c>
      <c r="P1174" s="7" t="s">
        <v>43</v>
      </c>
      <c r="Q1174" s="7">
        <v>4</v>
      </c>
      <c r="R1174" s="7">
        <v>1</v>
      </c>
      <c r="S1174" s="7">
        <v>3</v>
      </c>
      <c r="T1174" s="7">
        <v>4</v>
      </c>
      <c r="U1174" s="7">
        <v>10</v>
      </c>
      <c r="V1174" s="7" t="s">
        <v>5983</v>
      </c>
      <c r="W1174" s="7">
        <v>0</v>
      </c>
      <c r="X1174" s="7">
        <v>10</v>
      </c>
      <c r="Y1174" s="7">
        <v>6</v>
      </c>
      <c r="Z1174" s="7">
        <v>2</v>
      </c>
      <c r="AA1174" s="7">
        <v>1</v>
      </c>
      <c r="AB1174" s="7">
        <v>1</v>
      </c>
      <c r="AC1174" s="7" t="s">
        <v>0</v>
      </c>
      <c r="AD1174" s="7">
        <v>1</v>
      </c>
      <c r="AE1174" s="7" t="s">
        <v>60</v>
      </c>
    </row>
    <row r="1175" spans="1:31" ht="38.25" x14ac:dyDescent="0.2">
      <c r="A1175" s="8" t="str">
        <f>HYPERLINK("http://www.patentics.cn/invokexml.do?sx=showpatent_cn&amp;sf=ShowPatent&amp;spn=CN104509183B&amp;sx=showpatent_cn&amp;sv=ae97e2325ee002c19b94c8ded567a3f8","CN104509183B")</f>
        <v>CN104509183B</v>
      </c>
      <c r="B1175" s="9" t="s">
        <v>5984</v>
      </c>
      <c r="C1175" s="9" t="s">
        <v>5985</v>
      </c>
      <c r="D1175" s="9" t="s">
        <v>301</v>
      </c>
      <c r="E1175" s="9" t="s">
        <v>301</v>
      </c>
      <c r="F1175" s="9" t="s">
        <v>5986</v>
      </c>
      <c r="G1175" s="9" t="s">
        <v>5987</v>
      </c>
      <c r="H1175" s="9" t="s">
        <v>5988</v>
      </c>
      <c r="I1175" s="9" t="s">
        <v>5277</v>
      </c>
      <c r="J1175" s="9" t="s">
        <v>5989</v>
      </c>
      <c r="K1175" s="9" t="s">
        <v>55</v>
      </c>
      <c r="L1175" s="9" t="s">
        <v>1175</v>
      </c>
      <c r="M1175" s="9">
        <v>30</v>
      </c>
      <c r="N1175" s="9">
        <v>23</v>
      </c>
      <c r="O1175" s="9" t="s">
        <v>57</v>
      </c>
      <c r="P1175" s="9" t="s">
        <v>58</v>
      </c>
      <c r="Q1175" s="9">
        <v>4</v>
      </c>
      <c r="R1175" s="9">
        <v>1</v>
      </c>
      <c r="S1175" s="9">
        <v>3</v>
      </c>
      <c r="T1175" s="9">
        <v>4</v>
      </c>
      <c r="U1175" s="9">
        <v>0</v>
      </c>
      <c r="V1175" s="9" t="s">
        <v>114</v>
      </c>
      <c r="W1175" s="9">
        <v>0</v>
      </c>
      <c r="X1175" s="9">
        <v>0</v>
      </c>
      <c r="Y1175" s="9">
        <v>0</v>
      </c>
      <c r="Z1175" s="9">
        <v>0</v>
      </c>
      <c r="AA1175" s="9">
        <v>0</v>
      </c>
      <c r="AB1175" s="9">
        <v>0</v>
      </c>
      <c r="AC1175" s="9">
        <v>14</v>
      </c>
      <c r="AD1175" s="9" t="s">
        <v>0</v>
      </c>
      <c r="AE1175" s="9" t="s">
        <v>60</v>
      </c>
    </row>
    <row r="1176" spans="1:31" ht="25.5" x14ac:dyDescent="0.2">
      <c r="A1176" s="6" t="str">
        <f>HYPERLINK("http://www.patentics.cn/invokexml.do?sx=showpatent_cn&amp;sf=ShowPatent&amp;spn=CN101931685&amp;sx=showpatent_cn&amp;sv=54917b6267088dbb9b8ee78752792c8a","CN101931685")</f>
        <v>CN101931685</v>
      </c>
      <c r="B1176" s="7" t="s">
        <v>5990</v>
      </c>
      <c r="C1176" s="7" t="s">
        <v>5991</v>
      </c>
      <c r="D1176" s="7" t="s">
        <v>1097</v>
      </c>
      <c r="E1176" s="7" t="s">
        <v>1097</v>
      </c>
      <c r="F1176" s="7" t="s">
        <v>5992</v>
      </c>
      <c r="G1176" s="7" t="s">
        <v>5993</v>
      </c>
      <c r="H1176" s="7" t="s">
        <v>0</v>
      </c>
      <c r="I1176" s="7" t="s">
        <v>5994</v>
      </c>
      <c r="J1176" s="7" t="s">
        <v>5982</v>
      </c>
      <c r="K1176" s="7" t="s">
        <v>229</v>
      </c>
      <c r="L1176" s="7" t="s">
        <v>5995</v>
      </c>
      <c r="M1176" s="7">
        <v>5</v>
      </c>
      <c r="N1176" s="7">
        <v>14</v>
      </c>
      <c r="O1176" s="7" t="s">
        <v>42</v>
      </c>
      <c r="P1176" s="7" t="s">
        <v>43</v>
      </c>
      <c r="Q1176" s="7">
        <v>0</v>
      </c>
      <c r="R1176" s="7">
        <v>0</v>
      </c>
      <c r="S1176" s="7">
        <v>0</v>
      </c>
      <c r="T1176" s="7">
        <v>0</v>
      </c>
      <c r="U1176" s="7">
        <v>3</v>
      </c>
      <c r="V1176" s="7" t="s">
        <v>5996</v>
      </c>
      <c r="W1176" s="7">
        <v>0</v>
      </c>
      <c r="X1176" s="7">
        <v>3</v>
      </c>
      <c r="Y1176" s="7">
        <v>2</v>
      </c>
      <c r="Z1176" s="7">
        <v>2</v>
      </c>
      <c r="AA1176" s="7">
        <v>0</v>
      </c>
      <c r="AB1176" s="7">
        <v>0</v>
      </c>
      <c r="AC1176" s="7" t="s">
        <v>0</v>
      </c>
      <c r="AD1176" s="7">
        <v>1</v>
      </c>
      <c r="AE1176" s="7" t="s">
        <v>45</v>
      </c>
    </row>
    <row r="1177" spans="1:31" ht="89.25" x14ac:dyDescent="0.2">
      <c r="A1177" s="8" t="str">
        <f>HYPERLINK("http://www.patentics.cn/invokexml.do?sx=showpatent_cn&amp;sf=ShowPatent&amp;spn=US9571952&amp;sx=showpatent_cn&amp;sv=276fca6452045e9a21c11b92641a4649","US9571952")</f>
        <v>US9571952</v>
      </c>
      <c r="B1177" s="9" t="s">
        <v>5997</v>
      </c>
      <c r="C1177" s="9" t="s">
        <v>5998</v>
      </c>
      <c r="D1177" s="9" t="s">
        <v>5999</v>
      </c>
      <c r="E1177" s="9" t="s">
        <v>49</v>
      </c>
      <c r="F1177" s="9" t="s">
        <v>6000</v>
      </c>
      <c r="G1177" s="9" t="s">
        <v>2974</v>
      </c>
      <c r="H1177" s="9" t="s">
        <v>670</v>
      </c>
      <c r="I1177" s="9" t="s">
        <v>6001</v>
      </c>
      <c r="J1177" s="9" t="s">
        <v>6002</v>
      </c>
      <c r="K1177" s="9" t="s">
        <v>55</v>
      </c>
      <c r="L1177" s="9" t="s">
        <v>5176</v>
      </c>
      <c r="M1177" s="9">
        <v>27</v>
      </c>
      <c r="N1177" s="9">
        <v>36</v>
      </c>
      <c r="O1177" s="9" t="s">
        <v>57</v>
      </c>
      <c r="P1177" s="9" t="s">
        <v>58</v>
      </c>
      <c r="Q1177" s="9">
        <v>96</v>
      </c>
      <c r="R1177" s="9">
        <v>10</v>
      </c>
      <c r="S1177" s="9">
        <v>86</v>
      </c>
      <c r="T1177" s="9">
        <v>46</v>
      </c>
      <c r="U1177" s="9">
        <v>0</v>
      </c>
      <c r="V1177" s="9" t="s">
        <v>114</v>
      </c>
      <c r="W1177" s="9">
        <v>0</v>
      </c>
      <c r="X1177" s="9">
        <v>0</v>
      </c>
      <c r="Y1177" s="9">
        <v>0</v>
      </c>
      <c r="Z1177" s="9">
        <v>0</v>
      </c>
      <c r="AA1177" s="9">
        <v>7</v>
      </c>
      <c r="AB1177" s="9">
        <v>6</v>
      </c>
      <c r="AC1177" s="9">
        <v>14</v>
      </c>
      <c r="AD1177" s="9" t="s">
        <v>0</v>
      </c>
      <c r="AE1177" s="9" t="s">
        <v>60</v>
      </c>
    </row>
    <row r="1178" spans="1:31" ht="51" x14ac:dyDescent="0.2">
      <c r="A1178" s="6" t="str">
        <f>HYPERLINK("http://www.patentics.cn/invokexml.do?sx=showpatent_cn&amp;sf=ShowPatent&amp;spn=CN101924524&amp;sx=showpatent_cn&amp;sv=d50f9df177d0b1982fe64e4fc88408d4","CN101924524")</f>
        <v>CN101924524</v>
      </c>
      <c r="B1178" s="7" t="s">
        <v>6003</v>
      </c>
      <c r="C1178" s="7" t="s">
        <v>6004</v>
      </c>
      <c r="D1178" s="7" t="s">
        <v>524</v>
      </c>
      <c r="E1178" s="7" t="s">
        <v>524</v>
      </c>
      <c r="F1178" s="7" t="s">
        <v>2197</v>
      </c>
      <c r="G1178" s="7" t="s">
        <v>2198</v>
      </c>
      <c r="H1178" s="7" t="s">
        <v>6005</v>
      </c>
      <c r="I1178" s="7" t="s">
        <v>6005</v>
      </c>
      <c r="J1178" s="7" t="s">
        <v>1183</v>
      </c>
      <c r="K1178" s="7" t="s">
        <v>1993</v>
      </c>
      <c r="L1178" s="7" t="s">
        <v>2200</v>
      </c>
      <c r="M1178" s="7">
        <v>7</v>
      </c>
      <c r="N1178" s="7">
        <v>23</v>
      </c>
      <c r="O1178" s="7" t="s">
        <v>42</v>
      </c>
      <c r="P1178" s="7" t="s">
        <v>43</v>
      </c>
      <c r="Q1178" s="7">
        <v>5</v>
      </c>
      <c r="R1178" s="7">
        <v>0</v>
      </c>
      <c r="S1178" s="7">
        <v>5</v>
      </c>
      <c r="T1178" s="7">
        <v>5</v>
      </c>
      <c r="U1178" s="7">
        <v>7</v>
      </c>
      <c r="V1178" s="7" t="s">
        <v>5902</v>
      </c>
      <c r="W1178" s="7">
        <v>3</v>
      </c>
      <c r="X1178" s="7">
        <v>4</v>
      </c>
      <c r="Y1178" s="7">
        <v>4</v>
      </c>
      <c r="Z1178" s="7">
        <v>2</v>
      </c>
      <c r="AA1178" s="7">
        <v>1</v>
      </c>
      <c r="AB1178" s="7">
        <v>1</v>
      </c>
      <c r="AC1178" s="7" t="s">
        <v>0</v>
      </c>
      <c r="AD1178" s="7">
        <v>1</v>
      </c>
      <c r="AE1178" s="7" t="s">
        <v>532</v>
      </c>
    </row>
    <row r="1179" spans="1:31" ht="25.5" x14ac:dyDescent="0.2">
      <c r="A1179" s="8" t="str">
        <f>HYPERLINK("http://www.patentics.cn/invokexml.do?sx=showpatent_cn&amp;sf=ShowPatent&amp;spn=CN105075114B&amp;sx=showpatent_cn&amp;sv=4f303b7739b7d1fac87bafccc4deab5d","CN105075114B")</f>
        <v>CN105075114B</v>
      </c>
      <c r="B1179" s="9" t="s">
        <v>6006</v>
      </c>
      <c r="C1179" s="9" t="s">
        <v>6007</v>
      </c>
      <c r="D1179" s="9" t="s">
        <v>301</v>
      </c>
      <c r="E1179" s="9" t="s">
        <v>301</v>
      </c>
      <c r="F1179" s="9" t="s">
        <v>6008</v>
      </c>
      <c r="G1179" s="9" t="s">
        <v>6009</v>
      </c>
      <c r="H1179" s="9" t="s">
        <v>820</v>
      </c>
      <c r="I1179" s="9" t="s">
        <v>2624</v>
      </c>
      <c r="J1179" s="9" t="s">
        <v>6010</v>
      </c>
      <c r="K1179" s="9" t="s">
        <v>1993</v>
      </c>
      <c r="L1179" s="9" t="s">
        <v>6011</v>
      </c>
      <c r="M1179" s="9">
        <v>20</v>
      </c>
      <c r="N1179" s="9">
        <v>10</v>
      </c>
      <c r="O1179" s="9" t="s">
        <v>57</v>
      </c>
      <c r="P1179" s="9" t="s">
        <v>58</v>
      </c>
      <c r="Q1179" s="9">
        <v>2</v>
      </c>
      <c r="R1179" s="9">
        <v>1</v>
      </c>
      <c r="S1179" s="9">
        <v>1</v>
      </c>
      <c r="T1179" s="9">
        <v>2</v>
      </c>
      <c r="U1179" s="9">
        <v>0</v>
      </c>
      <c r="V1179" s="9" t="s">
        <v>114</v>
      </c>
      <c r="W1179" s="9">
        <v>0</v>
      </c>
      <c r="X1179" s="9">
        <v>0</v>
      </c>
      <c r="Y1179" s="9">
        <v>0</v>
      </c>
      <c r="Z1179" s="9">
        <v>0</v>
      </c>
      <c r="AA1179" s="9">
        <v>0</v>
      </c>
      <c r="AB1179" s="9">
        <v>0</v>
      </c>
      <c r="AC1179" s="9">
        <v>14</v>
      </c>
      <c r="AD1179" s="9" t="s">
        <v>0</v>
      </c>
      <c r="AE1179" s="9" t="s">
        <v>60</v>
      </c>
    </row>
    <row r="1180" spans="1:31" ht="38.25" x14ac:dyDescent="0.2">
      <c r="A1180" s="6" t="str">
        <f>HYPERLINK("http://www.patentics.cn/invokexml.do?sx=showpatent_cn&amp;sf=ShowPatent&amp;spn=CN101924610&amp;sx=showpatent_cn&amp;sv=d6cacdf64c06f962b434f769637c21d2","CN101924610")</f>
        <v>CN101924610</v>
      </c>
      <c r="B1180" s="7" t="s">
        <v>6012</v>
      </c>
      <c r="C1180" s="7" t="s">
        <v>6013</v>
      </c>
      <c r="D1180" s="7" t="s">
        <v>1420</v>
      </c>
      <c r="E1180" s="7" t="s">
        <v>1420</v>
      </c>
      <c r="F1180" s="7" t="s">
        <v>6014</v>
      </c>
      <c r="G1180" s="7" t="s">
        <v>6015</v>
      </c>
      <c r="H1180" s="7" t="s">
        <v>6016</v>
      </c>
      <c r="I1180" s="7" t="s">
        <v>6016</v>
      </c>
      <c r="J1180" s="7" t="s">
        <v>1183</v>
      </c>
      <c r="K1180" s="7" t="s">
        <v>68</v>
      </c>
      <c r="L1180" s="7" t="s">
        <v>211</v>
      </c>
      <c r="M1180" s="7">
        <v>5</v>
      </c>
      <c r="N1180" s="7">
        <v>31</v>
      </c>
      <c r="O1180" s="7" t="s">
        <v>42</v>
      </c>
      <c r="P1180" s="7" t="s">
        <v>43</v>
      </c>
      <c r="Q1180" s="7">
        <v>2</v>
      </c>
      <c r="R1180" s="7">
        <v>0</v>
      </c>
      <c r="S1180" s="7">
        <v>2</v>
      </c>
      <c r="T1180" s="7">
        <v>2</v>
      </c>
      <c r="U1180" s="7">
        <v>16</v>
      </c>
      <c r="V1180" s="7" t="s">
        <v>4252</v>
      </c>
      <c r="W1180" s="7">
        <v>0</v>
      </c>
      <c r="X1180" s="7">
        <v>16</v>
      </c>
      <c r="Y1180" s="7">
        <v>11</v>
      </c>
      <c r="Z1180" s="7">
        <v>3</v>
      </c>
      <c r="AA1180" s="7">
        <v>1</v>
      </c>
      <c r="AB1180" s="7">
        <v>1</v>
      </c>
      <c r="AC1180" s="7" t="s">
        <v>0</v>
      </c>
      <c r="AD1180" s="7">
        <v>1</v>
      </c>
      <c r="AE1180" s="7" t="s">
        <v>60</v>
      </c>
    </row>
    <row r="1181" spans="1:31" ht="51" x14ac:dyDescent="0.2">
      <c r="A1181" s="8" t="str">
        <f>HYPERLINK("http://www.patentics.cn/invokexml.do?sx=showpatent_cn&amp;sf=ShowPatent&amp;spn=CN104054289B&amp;sx=showpatent_cn&amp;sv=d1a8f30b63ad330e03b95c56aea94fdd","CN104054289B")</f>
        <v>CN104054289B</v>
      </c>
      <c r="B1181" s="9" t="s">
        <v>6017</v>
      </c>
      <c r="C1181" s="9" t="s">
        <v>6018</v>
      </c>
      <c r="D1181" s="9" t="s">
        <v>301</v>
      </c>
      <c r="E1181" s="9" t="s">
        <v>301</v>
      </c>
      <c r="F1181" s="9" t="s">
        <v>6019</v>
      </c>
      <c r="G1181" s="9" t="s">
        <v>6020</v>
      </c>
      <c r="H1181" s="9" t="s">
        <v>5844</v>
      </c>
      <c r="I1181" s="9" t="s">
        <v>5301</v>
      </c>
      <c r="J1181" s="9" t="s">
        <v>3367</v>
      </c>
      <c r="K1181" s="9" t="s">
        <v>68</v>
      </c>
      <c r="L1181" s="9" t="s">
        <v>1668</v>
      </c>
      <c r="M1181" s="9">
        <v>64</v>
      </c>
      <c r="N1181" s="9">
        <v>10</v>
      </c>
      <c r="O1181" s="9" t="s">
        <v>57</v>
      </c>
      <c r="P1181" s="9" t="s">
        <v>58</v>
      </c>
      <c r="Q1181" s="9">
        <v>3</v>
      </c>
      <c r="R1181" s="9">
        <v>1</v>
      </c>
      <c r="S1181" s="9">
        <v>2</v>
      </c>
      <c r="T1181" s="9">
        <v>3</v>
      </c>
      <c r="U1181" s="9">
        <v>0</v>
      </c>
      <c r="V1181" s="9" t="s">
        <v>114</v>
      </c>
      <c r="W1181" s="9">
        <v>0</v>
      </c>
      <c r="X1181" s="9">
        <v>0</v>
      </c>
      <c r="Y1181" s="9">
        <v>0</v>
      </c>
      <c r="Z1181" s="9">
        <v>0</v>
      </c>
      <c r="AA1181" s="9">
        <v>0</v>
      </c>
      <c r="AB1181" s="9">
        <v>0</v>
      </c>
      <c r="AC1181" s="9">
        <v>14</v>
      </c>
      <c r="AD1181" s="9" t="s">
        <v>0</v>
      </c>
      <c r="AE1181" s="9" t="s">
        <v>60</v>
      </c>
    </row>
    <row r="1182" spans="1:31" ht="38.25" x14ac:dyDescent="0.2">
      <c r="A1182" s="6" t="str">
        <f>HYPERLINK("http://www.patentics.cn/invokexml.do?sx=showpatent_cn&amp;sf=ShowPatent&amp;spn=CN101917619&amp;sx=showpatent_cn&amp;sv=54f7cd31bd8af9f9b09cb9c2fdae84f3","CN101917619")</f>
        <v>CN101917619</v>
      </c>
      <c r="B1182" s="7" t="s">
        <v>6021</v>
      </c>
      <c r="C1182" s="7" t="s">
        <v>6022</v>
      </c>
      <c r="D1182" s="7" t="s">
        <v>923</v>
      </c>
      <c r="E1182" s="7" t="s">
        <v>923</v>
      </c>
      <c r="F1182" s="7" t="s">
        <v>6023</v>
      </c>
      <c r="G1182" s="7" t="s">
        <v>6024</v>
      </c>
      <c r="H1182" s="7" t="s">
        <v>2313</v>
      </c>
      <c r="I1182" s="7" t="s">
        <v>2313</v>
      </c>
      <c r="J1182" s="7" t="s">
        <v>5875</v>
      </c>
      <c r="K1182" s="7" t="s">
        <v>714</v>
      </c>
      <c r="L1182" s="7" t="s">
        <v>1346</v>
      </c>
      <c r="M1182" s="7">
        <v>6</v>
      </c>
      <c r="N1182" s="7">
        <v>28</v>
      </c>
      <c r="O1182" s="7" t="s">
        <v>42</v>
      </c>
      <c r="P1182" s="7" t="s">
        <v>43</v>
      </c>
      <c r="Q1182" s="7">
        <v>5</v>
      </c>
      <c r="R1182" s="7">
        <v>0</v>
      </c>
      <c r="S1182" s="7">
        <v>5</v>
      </c>
      <c r="T1182" s="7">
        <v>4</v>
      </c>
      <c r="U1182" s="7">
        <v>15</v>
      </c>
      <c r="V1182" s="7" t="s">
        <v>6025</v>
      </c>
      <c r="W1182" s="7">
        <v>0</v>
      </c>
      <c r="X1182" s="7">
        <v>15</v>
      </c>
      <c r="Y1182" s="7">
        <v>7</v>
      </c>
      <c r="Z1182" s="7">
        <v>3</v>
      </c>
      <c r="AA1182" s="7">
        <v>1</v>
      </c>
      <c r="AB1182" s="7">
        <v>1</v>
      </c>
      <c r="AC1182" s="7" t="s">
        <v>0</v>
      </c>
      <c r="AD1182" s="7">
        <v>1</v>
      </c>
      <c r="AE1182" s="7" t="s">
        <v>60</v>
      </c>
    </row>
    <row r="1183" spans="1:31" ht="38.25" x14ac:dyDescent="0.2">
      <c r="A1183" s="8" t="str">
        <f>HYPERLINK("http://www.patentics.cn/invokexml.do?sx=showpatent_cn&amp;sf=ShowPatent&amp;spn=WO2015135172&amp;sx=showpatent_cn&amp;sv=5239cea68e01e4b5accad50eaa19d618","WO2015135172")</f>
        <v>WO2015135172</v>
      </c>
      <c r="B1183" s="9" t="s">
        <v>6026</v>
      </c>
      <c r="C1183" s="9" t="s">
        <v>6027</v>
      </c>
      <c r="D1183" s="9" t="s">
        <v>117</v>
      </c>
      <c r="E1183" s="9" t="s">
        <v>49</v>
      </c>
      <c r="F1183" s="9" t="s">
        <v>6028</v>
      </c>
      <c r="G1183" s="9" t="s">
        <v>3445</v>
      </c>
      <c r="H1183" s="9" t="s">
        <v>5186</v>
      </c>
      <c r="I1183" s="9" t="s">
        <v>5186</v>
      </c>
      <c r="J1183" s="9" t="s">
        <v>6029</v>
      </c>
      <c r="K1183" s="9" t="s">
        <v>714</v>
      </c>
      <c r="L1183" s="9" t="s">
        <v>3448</v>
      </c>
      <c r="M1183" s="9">
        <v>24</v>
      </c>
      <c r="N1183" s="9">
        <v>15</v>
      </c>
      <c r="O1183" s="9" t="s">
        <v>850</v>
      </c>
      <c r="P1183" s="9" t="s">
        <v>43</v>
      </c>
      <c r="Q1183" s="9">
        <v>3</v>
      </c>
      <c r="R1183" s="9">
        <v>2</v>
      </c>
      <c r="S1183" s="9">
        <v>1</v>
      </c>
      <c r="T1183" s="9">
        <v>2</v>
      </c>
      <c r="U1183" s="9">
        <v>0</v>
      </c>
      <c r="V1183" s="9" t="s">
        <v>114</v>
      </c>
      <c r="W1183" s="9">
        <v>0</v>
      </c>
      <c r="X1183" s="9">
        <v>0</v>
      </c>
      <c r="Y1183" s="9">
        <v>0</v>
      </c>
      <c r="Z1183" s="9">
        <v>0</v>
      </c>
      <c r="AA1183" s="9">
        <v>5</v>
      </c>
      <c r="AB1183" s="9">
        <v>6</v>
      </c>
      <c r="AC1183" s="9">
        <v>14</v>
      </c>
      <c r="AD1183" s="9" t="s">
        <v>0</v>
      </c>
      <c r="AE1183" s="9" t="s">
        <v>0</v>
      </c>
    </row>
    <row r="1184" spans="1:31" ht="38.25" x14ac:dyDescent="0.2">
      <c r="A1184" s="6" t="str">
        <f>HYPERLINK("http://www.patentics.cn/invokexml.do?sx=showpatent_cn&amp;sf=ShowPatent&amp;spn=CN101916429&amp;sx=showpatent_cn&amp;sv=7d27c20d6de7baf8c166409d08a06522","CN101916429")</f>
        <v>CN101916429</v>
      </c>
      <c r="B1184" s="7" t="s">
        <v>6030</v>
      </c>
      <c r="C1184" s="7" t="s">
        <v>6031</v>
      </c>
      <c r="D1184" s="7" t="s">
        <v>923</v>
      </c>
      <c r="E1184" s="7" t="s">
        <v>923</v>
      </c>
      <c r="F1184" s="7" t="s">
        <v>6032</v>
      </c>
      <c r="G1184" s="7" t="s">
        <v>6033</v>
      </c>
      <c r="H1184" s="7" t="s">
        <v>6034</v>
      </c>
      <c r="I1184" s="7" t="s">
        <v>6034</v>
      </c>
      <c r="J1184" s="7" t="s">
        <v>5875</v>
      </c>
      <c r="K1184" s="7" t="s">
        <v>2163</v>
      </c>
      <c r="L1184" s="7" t="s">
        <v>6035</v>
      </c>
      <c r="M1184" s="7">
        <v>5</v>
      </c>
      <c r="N1184" s="7">
        <v>18</v>
      </c>
      <c r="O1184" s="7" t="s">
        <v>42</v>
      </c>
      <c r="P1184" s="7" t="s">
        <v>43</v>
      </c>
      <c r="Q1184" s="7">
        <v>4</v>
      </c>
      <c r="R1184" s="7">
        <v>0</v>
      </c>
      <c r="S1184" s="7">
        <v>4</v>
      </c>
      <c r="T1184" s="7">
        <v>4</v>
      </c>
      <c r="U1184" s="7">
        <v>5</v>
      </c>
      <c r="V1184" s="7" t="s">
        <v>3096</v>
      </c>
      <c r="W1184" s="7">
        <v>0</v>
      </c>
      <c r="X1184" s="7">
        <v>5</v>
      </c>
      <c r="Y1184" s="7">
        <v>4</v>
      </c>
      <c r="Z1184" s="7">
        <v>2</v>
      </c>
      <c r="AA1184" s="7">
        <v>1</v>
      </c>
      <c r="AB1184" s="7">
        <v>1</v>
      </c>
      <c r="AC1184" s="7" t="s">
        <v>0</v>
      </c>
      <c r="AD1184" s="7">
        <v>1</v>
      </c>
      <c r="AE1184" s="7" t="s">
        <v>60</v>
      </c>
    </row>
    <row r="1185" spans="1:31" ht="25.5" x14ac:dyDescent="0.2">
      <c r="A1185" s="8" t="str">
        <f>HYPERLINK("http://www.patentics.cn/invokexml.do?sx=showpatent_cn&amp;sf=ShowPatent&amp;spn=WO2014067050&amp;sx=showpatent_cn&amp;sv=018e3d53539a0d2f68194147ce0d71c8","WO2014067050")</f>
        <v>WO2014067050</v>
      </c>
      <c r="B1185" s="9" t="s">
        <v>6036</v>
      </c>
      <c r="C1185" s="9" t="s">
        <v>6037</v>
      </c>
      <c r="D1185" s="9" t="s">
        <v>117</v>
      </c>
      <c r="E1185" s="9" t="s">
        <v>49</v>
      </c>
      <c r="F1185" s="9" t="s">
        <v>6038</v>
      </c>
      <c r="G1185" s="9" t="s">
        <v>6038</v>
      </c>
      <c r="H1185" s="9" t="s">
        <v>3473</v>
      </c>
      <c r="I1185" s="9" t="s">
        <v>3473</v>
      </c>
      <c r="J1185" s="9" t="s">
        <v>3479</v>
      </c>
      <c r="K1185" s="9" t="s">
        <v>229</v>
      </c>
      <c r="L1185" s="9" t="s">
        <v>6039</v>
      </c>
      <c r="M1185" s="9">
        <v>21</v>
      </c>
      <c r="N1185" s="9">
        <v>19</v>
      </c>
      <c r="O1185" s="9" t="s">
        <v>850</v>
      </c>
      <c r="P1185" s="9" t="s">
        <v>43</v>
      </c>
      <c r="Q1185" s="9">
        <v>3</v>
      </c>
      <c r="R1185" s="9">
        <v>0</v>
      </c>
      <c r="S1185" s="9">
        <v>3</v>
      </c>
      <c r="T1185" s="9">
        <v>3</v>
      </c>
      <c r="U1185" s="9">
        <v>0</v>
      </c>
      <c r="V1185" s="9" t="s">
        <v>114</v>
      </c>
      <c r="W1185" s="9">
        <v>0</v>
      </c>
      <c r="X1185" s="9">
        <v>0</v>
      </c>
      <c r="Y1185" s="9">
        <v>0</v>
      </c>
      <c r="Z1185" s="9">
        <v>0</v>
      </c>
      <c r="AA1185" s="9">
        <v>3</v>
      </c>
      <c r="AB1185" s="9">
        <v>4</v>
      </c>
      <c r="AC1185" s="9">
        <v>14</v>
      </c>
      <c r="AD1185" s="9" t="s">
        <v>0</v>
      </c>
      <c r="AE1185" s="9" t="s">
        <v>0</v>
      </c>
    </row>
    <row r="1186" spans="1:31" ht="38.25" x14ac:dyDescent="0.2">
      <c r="A1186" s="6" t="str">
        <f>HYPERLINK("http://www.patentics.cn/invokexml.do?sx=showpatent_cn&amp;sf=ShowPatent&amp;spn=CN101895823&amp;sx=showpatent_cn&amp;sv=068c67ef9fba9befe7c2a5fd38ed756b","CN101895823")</f>
        <v>CN101895823</v>
      </c>
      <c r="B1186" s="7" t="s">
        <v>6040</v>
      </c>
      <c r="C1186" s="7" t="s">
        <v>6041</v>
      </c>
      <c r="D1186" s="7" t="s">
        <v>6042</v>
      </c>
      <c r="E1186" s="7" t="s">
        <v>6042</v>
      </c>
      <c r="F1186" s="7" t="s">
        <v>6043</v>
      </c>
      <c r="G1186" s="7" t="s">
        <v>6044</v>
      </c>
      <c r="H1186" s="7" t="s">
        <v>3616</v>
      </c>
      <c r="I1186" s="7" t="s">
        <v>3616</v>
      </c>
      <c r="J1186" s="7" t="s">
        <v>1092</v>
      </c>
      <c r="K1186" s="7" t="s">
        <v>55</v>
      </c>
      <c r="L1186" s="7" t="s">
        <v>6045</v>
      </c>
      <c r="M1186" s="7">
        <v>3</v>
      </c>
      <c r="N1186" s="7">
        <v>73</v>
      </c>
      <c r="O1186" s="7" t="s">
        <v>42</v>
      </c>
      <c r="P1186" s="7" t="s">
        <v>43</v>
      </c>
      <c r="Q1186" s="7">
        <v>4</v>
      </c>
      <c r="R1186" s="7">
        <v>1</v>
      </c>
      <c r="S1186" s="7">
        <v>3</v>
      </c>
      <c r="T1186" s="7">
        <v>4</v>
      </c>
      <c r="U1186" s="7">
        <v>2</v>
      </c>
      <c r="V1186" s="7" t="s">
        <v>2768</v>
      </c>
      <c r="W1186" s="7">
        <v>0</v>
      </c>
      <c r="X1186" s="7">
        <v>2</v>
      </c>
      <c r="Y1186" s="7">
        <v>2</v>
      </c>
      <c r="Z1186" s="7">
        <v>2</v>
      </c>
      <c r="AA1186" s="7">
        <v>1</v>
      </c>
      <c r="AB1186" s="7">
        <v>1</v>
      </c>
      <c r="AC1186" s="7" t="s">
        <v>0</v>
      </c>
      <c r="AD1186" s="7">
        <v>1</v>
      </c>
      <c r="AE1186" s="7" t="s">
        <v>532</v>
      </c>
    </row>
    <row r="1187" spans="1:31" ht="102" x14ac:dyDescent="0.2">
      <c r="A1187" s="8" t="str">
        <f>HYPERLINK("http://www.patentics.cn/invokexml.do?sx=showpatent_cn&amp;sf=ShowPatent&amp;spn=WO2016054769&amp;sx=showpatent_cn&amp;sv=21101af7b4fd1d9dc3b58243f1553659","WO2016054769")</f>
        <v>WO2016054769</v>
      </c>
      <c r="B1187" s="9" t="s">
        <v>5132</v>
      </c>
      <c r="C1187" s="9" t="s">
        <v>5133</v>
      </c>
      <c r="D1187" s="9" t="s">
        <v>117</v>
      </c>
      <c r="E1187" s="9" t="s">
        <v>49</v>
      </c>
      <c r="F1187" s="9" t="s">
        <v>5134</v>
      </c>
      <c r="G1187" s="9" t="s">
        <v>5135</v>
      </c>
      <c r="H1187" s="9" t="s">
        <v>0</v>
      </c>
      <c r="I1187" s="9" t="s">
        <v>5136</v>
      </c>
      <c r="J1187" s="9" t="s">
        <v>5137</v>
      </c>
      <c r="K1187" s="9" t="s">
        <v>55</v>
      </c>
      <c r="L1187" s="9" t="s">
        <v>947</v>
      </c>
      <c r="M1187" s="9">
        <v>30</v>
      </c>
      <c r="N1187" s="9">
        <v>0</v>
      </c>
      <c r="O1187" s="9" t="s">
        <v>850</v>
      </c>
      <c r="P1187" s="9" t="s">
        <v>1932</v>
      </c>
      <c r="Q1187" s="9">
        <v>4</v>
      </c>
      <c r="R1187" s="9">
        <v>0</v>
      </c>
      <c r="S1187" s="9">
        <v>4</v>
      </c>
      <c r="T1187" s="9">
        <v>3</v>
      </c>
      <c r="U1187" s="9">
        <v>0</v>
      </c>
      <c r="V1187" s="9" t="s">
        <v>114</v>
      </c>
      <c r="W1187" s="9">
        <v>0</v>
      </c>
      <c r="X1187" s="9">
        <v>0</v>
      </c>
      <c r="Y1187" s="9">
        <v>0</v>
      </c>
      <c r="Z1187" s="9">
        <v>0</v>
      </c>
      <c r="AA1187" s="9">
        <v>0</v>
      </c>
      <c r="AB1187" s="9">
        <v>0</v>
      </c>
      <c r="AC1187" s="9">
        <v>14</v>
      </c>
      <c r="AD1187" s="9" t="s">
        <v>0</v>
      </c>
      <c r="AE1187" s="9" t="s">
        <v>0</v>
      </c>
    </row>
    <row r="1188" spans="1:31" ht="51" x14ac:dyDescent="0.2">
      <c r="A1188" s="6" t="str">
        <f>HYPERLINK("http://www.patentics.cn/invokexml.do?sx=showpatent_cn&amp;sf=ShowPatent&amp;spn=CN101895419&amp;sx=showpatent_cn&amp;sv=d7e49c88c73d8267cfffa96821d496e6","CN101895419")</f>
        <v>CN101895419</v>
      </c>
      <c r="B1188" s="7" t="s">
        <v>6046</v>
      </c>
      <c r="C1188" s="7" t="s">
        <v>6047</v>
      </c>
      <c r="D1188" s="7" t="s">
        <v>932</v>
      </c>
      <c r="E1188" s="7" t="s">
        <v>932</v>
      </c>
      <c r="F1188" s="7" t="s">
        <v>6048</v>
      </c>
      <c r="G1188" s="7" t="s">
        <v>6049</v>
      </c>
      <c r="H1188" s="7" t="s">
        <v>0</v>
      </c>
      <c r="I1188" s="7" t="s">
        <v>2560</v>
      </c>
      <c r="J1188" s="7" t="s">
        <v>1092</v>
      </c>
      <c r="K1188" s="7" t="s">
        <v>68</v>
      </c>
      <c r="L1188" s="7" t="s">
        <v>2448</v>
      </c>
      <c r="M1188" s="7">
        <v>5</v>
      </c>
      <c r="N1188" s="7">
        <v>18</v>
      </c>
      <c r="O1188" s="7" t="s">
        <v>42</v>
      </c>
      <c r="P1188" s="7" t="s">
        <v>43</v>
      </c>
      <c r="Q1188" s="7">
        <v>0</v>
      </c>
      <c r="R1188" s="7">
        <v>0</v>
      </c>
      <c r="S1188" s="7">
        <v>0</v>
      </c>
      <c r="T1188" s="7">
        <v>0</v>
      </c>
      <c r="U1188" s="7">
        <v>8</v>
      </c>
      <c r="V1188" s="7" t="s">
        <v>6050</v>
      </c>
      <c r="W1188" s="7">
        <v>2</v>
      </c>
      <c r="X1188" s="7">
        <v>6</v>
      </c>
      <c r="Y1188" s="7">
        <v>5</v>
      </c>
      <c r="Z1188" s="7">
        <v>3</v>
      </c>
      <c r="AA1188" s="7">
        <v>0</v>
      </c>
      <c r="AB1188" s="7">
        <v>0</v>
      </c>
      <c r="AC1188" s="7" t="s">
        <v>0</v>
      </c>
      <c r="AD1188" s="7">
        <v>1</v>
      </c>
      <c r="AE1188" s="7" t="s">
        <v>45</v>
      </c>
    </row>
    <row r="1189" spans="1:31" ht="89.25" x14ac:dyDescent="0.2">
      <c r="A1189" s="8" t="str">
        <f>HYPERLINK("http://www.patentics.cn/invokexml.do?sx=showpatent_cn&amp;sf=ShowPatent&amp;spn=US9307507&amp;sx=showpatent_cn&amp;sv=a9791698d0b486ad8c55685d7a531dba","US9307507")</f>
        <v>US9307507</v>
      </c>
      <c r="B1189" s="9" t="s">
        <v>6051</v>
      </c>
      <c r="C1189" s="9" t="s">
        <v>6052</v>
      </c>
      <c r="D1189" s="9" t="s">
        <v>117</v>
      </c>
      <c r="E1189" s="9" t="s">
        <v>49</v>
      </c>
      <c r="F1189" s="9" t="s">
        <v>6053</v>
      </c>
      <c r="G1189" s="9" t="s">
        <v>1816</v>
      </c>
      <c r="H1189" s="9" t="s">
        <v>6054</v>
      </c>
      <c r="I1189" s="9" t="s">
        <v>820</v>
      </c>
      <c r="J1189" s="9" t="s">
        <v>271</v>
      </c>
      <c r="K1189" s="9" t="s">
        <v>55</v>
      </c>
      <c r="L1189" s="9" t="s">
        <v>6055</v>
      </c>
      <c r="M1189" s="9">
        <v>66</v>
      </c>
      <c r="N1189" s="9">
        <v>14</v>
      </c>
      <c r="O1189" s="9" t="s">
        <v>57</v>
      </c>
      <c r="P1189" s="9" t="s">
        <v>58</v>
      </c>
      <c r="Q1189" s="9">
        <v>34</v>
      </c>
      <c r="R1189" s="9">
        <v>2</v>
      </c>
      <c r="S1189" s="9">
        <v>32</v>
      </c>
      <c r="T1189" s="9">
        <v>23</v>
      </c>
      <c r="U1189" s="9">
        <v>0</v>
      </c>
      <c r="V1189" s="9" t="s">
        <v>114</v>
      </c>
      <c r="W1189" s="9">
        <v>0</v>
      </c>
      <c r="X1189" s="9">
        <v>0</v>
      </c>
      <c r="Y1189" s="9">
        <v>0</v>
      </c>
      <c r="Z1189" s="9">
        <v>0</v>
      </c>
      <c r="AA1189" s="9">
        <v>12</v>
      </c>
      <c r="AB1189" s="9">
        <v>5</v>
      </c>
      <c r="AC1189" s="9">
        <v>14</v>
      </c>
      <c r="AD1189" s="9" t="s">
        <v>0</v>
      </c>
      <c r="AE1189" s="9" t="s">
        <v>60</v>
      </c>
    </row>
    <row r="1190" spans="1:31" ht="38.25" x14ac:dyDescent="0.2">
      <c r="A1190" s="6" t="str">
        <f>HYPERLINK("http://www.patentics.cn/invokexml.do?sx=showpatent_cn&amp;sf=ShowPatent&amp;spn=CN101888247&amp;sx=showpatent_cn&amp;sv=5d6e9e30b69575c8733aa12d25252664","CN101888247")</f>
        <v>CN101888247</v>
      </c>
      <c r="B1190" s="7" t="s">
        <v>6056</v>
      </c>
      <c r="C1190" s="7" t="s">
        <v>6057</v>
      </c>
      <c r="D1190" s="7" t="s">
        <v>2653</v>
      </c>
      <c r="E1190" s="7" t="s">
        <v>2653</v>
      </c>
      <c r="F1190" s="7" t="s">
        <v>6058</v>
      </c>
      <c r="G1190" s="7" t="s">
        <v>6059</v>
      </c>
      <c r="H1190" s="7" t="s">
        <v>1569</v>
      </c>
      <c r="I1190" s="7" t="s">
        <v>1569</v>
      </c>
      <c r="J1190" s="7" t="s">
        <v>1049</v>
      </c>
      <c r="K1190" s="7" t="s">
        <v>1529</v>
      </c>
      <c r="L1190" s="7" t="s">
        <v>5013</v>
      </c>
      <c r="M1190" s="7">
        <v>5</v>
      </c>
      <c r="N1190" s="7">
        <v>66</v>
      </c>
      <c r="O1190" s="7" t="s">
        <v>42</v>
      </c>
      <c r="P1190" s="7" t="s">
        <v>43</v>
      </c>
      <c r="Q1190" s="7">
        <v>8</v>
      </c>
      <c r="R1190" s="7">
        <v>0</v>
      </c>
      <c r="S1190" s="7">
        <v>8</v>
      </c>
      <c r="T1190" s="7">
        <v>5</v>
      </c>
      <c r="U1190" s="7">
        <v>11</v>
      </c>
      <c r="V1190" s="7" t="s">
        <v>3933</v>
      </c>
      <c r="W1190" s="7">
        <v>2</v>
      </c>
      <c r="X1190" s="7">
        <v>9</v>
      </c>
      <c r="Y1190" s="7">
        <v>8</v>
      </c>
      <c r="Z1190" s="7">
        <v>1</v>
      </c>
      <c r="AA1190" s="7">
        <v>1</v>
      </c>
      <c r="AB1190" s="7">
        <v>1</v>
      </c>
      <c r="AC1190" s="7" t="s">
        <v>0</v>
      </c>
      <c r="AD1190" s="7">
        <v>1</v>
      </c>
      <c r="AE1190" s="7" t="s">
        <v>532</v>
      </c>
    </row>
    <row r="1191" spans="1:31" x14ac:dyDescent="0.2">
      <c r="A1191" s="8" t="str">
        <f>HYPERLINK("http://www.patentics.cn/invokexml.do?sx=showpatent_cn&amp;sf=ShowPatent&amp;spn=CN103534951B&amp;sx=showpatent_cn&amp;sv=47c194504173cf7849a2704294ff8e2a","CN103534951B")</f>
        <v>CN103534951B</v>
      </c>
      <c r="B1191" s="9" t="s">
        <v>6060</v>
      </c>
      <c r="C1191" s="9" t="s">
        <v>6061</v>
      </c>
      <c r="D1191" s="9" t="s">
        <v>301</v>
      </c>
      <c r="E1191" s="9" t="s">
        <v>301</v>
      </c>
      <c r="F1191" s="9" t="s">
        <v>6062</v>
      </c>
      <c r="G1191" s="9" t="s">
        <v>6062</v>
      </c>
      <c r="H1191" s="9" t="s">
        <v>6063</v>
      </c>
      <c r="I1191" s="9" t="s">
        <v>6064</v>
      </c>
      <c r="J1191" s="9" t="s">
        <v>5768</v>
      </c>
      <c r="K1191" s="9" t="s">
        <v>1529</v>
      </c>
      <c r="L1191" s="9" t="s">
        <v>5018</v>
      </c>
      <c r="M1191" s="9">
        <v>19</v>
      </c>
      <c r="N1191" s="9">
        <v>14</v>
      </c>
      <c r="O1191" s="9" t="s">
        <v>57</v>
      </c>
      <c r="P1191" s="9" t="s">
        <v>58</v>
      </c>
      <c r="Q1191" s="9">
        <v>4</v>
      </c>
      <c r="R1191" s="9">
        <v>0</v>
      </c>
      <c r="S1191" s="9">
        <v>4</v>
      </c>
      <c r="T1191" s="9">
        <v>3</v>
      </c>
      <c r="U1191" s="9">
        <v>0</v>
      </c>
      <c r="V1191" s="9" t="s">
        <v>114</v>
      </c>
      <c r="W1191" s="9">
        <v>0</v>
      </c>
      <c r="X1191" s="9">
        <v>0</v>
      </c>
      <c r="Y1191" s="9">
        <v>0</v>
      </c>
      <c r="Z1191" s="9">
        <v>0</v>
      </c>
      <c r="AA1191" s="9">
        <v>0</v>
      </c>
      <c r="AB1191" s="9">
        <v>0</v>
      </c>
      <c r="AC1191" s="9">
        <v>14</v>
      </c>
      <c r="AD1191" s="9" t="s">
        <v>0</v>
      </c>
      <c r="AE1191" s="9" t="s">
        <v>60</v>
      </c>
    </row>
    <row r="1192" spans="1:31" ht="38.25" x14ac:dyDescent="0.2">
      <c r="A1192" s="6" t="str">
        <f>HYPERLINK("http://www.patentics.cn/invokexml.do?sx=showpatent_cn&amp;sf=ShowPatent&amp;spn=CN101887593&amp;sx=showpatent_cn&amp;sv=e3d6dea277bf3da16e0b8c6fb52d5f05","CN101887593")</f>
        <v>CN101887593</v>
      </c>
      <c r="B1192" s="7" t="s">
        <v>6065</v>
      </c>
      <c r="C1192" s="7" t="s">
        <v>6066</v>
      </c>
      <c r="D1192" s="7" t="s">
        <v>5100</v>
      </c>
      <c r="E1192" s="7" t="s">
        <v>5100</v>
      </c>
      <c r="F1192" s="7" t="s">
        <v>6067</v>
      </c>
      <c r="G1192" s="7" t="s">
        <v>6068</v>
      </c>
      <c r="H1192" s="7" t="s">
        <v>0</v>
      </c>
      <c r="I1192" s="7" t="s">
        <v>1902</v>
      </c>
      <c r="J1192" s="7" t="s">
        <v>1049</v>
      </c>
      <c r="K1192" s="7" t="s">
        <v>2163</v>
      </c>
      <c r="L1192" s="7" t="s">
        <v>3501</v>
      </c>
      <c r="M1192" s="7">
        <v>4</v>
      </c>
      <c r="N1192" s="7">
        <v>31</v>
      </c>
      <c r="O1192" s="7" t="s">
        <v>42</v>
      </c>
      <c r="P1192" s="7" t="s">
        <v>43</v>
      </c>
      <c r="Q1192" s="7">
        <v>0</v>
      </c>
      <c r="R1192" s="7">
        <v>0</v>
      </c>
      <c r="S1192" s="7">
        <v>0</v>
      </c>
      <c r="T1192" s="7">
        <v>0</v>
      </c>
      <c r="U1192" s="7">
        <v>3</v>
      </c>
      <c r="V1192" s="7" t="s">
        <v>640</v>
      </c>
      <c r="W1192" s="7">
        <v>0</v>
      </c>
      <c r="X1192" s="7">
        <v>3</v>
      </c>
      <c r="Y1192" s="7">
        <v>3</v>
      </c>
      <c r="Z1192" s="7">
        <v>2</v>
      </c>
      <c r="AA1192" s="7">
        <v>0</v>
      </c>
      <c r="AB1192" s="7">
        <v>0</v>
      </c>
      <c r="AC1192" s="7" t="s">
        <v>0</v>
      </c>
      <c r="AD1192" s="7">
        <v>1</v>
      </c>
      <c r="AE1192" s="7" t="s">
        <v>1390</v>
      </c>
    </row>
    <row r="1193" spans="1:31" ht="63.75" x14ac:dyDescent="0.2">
      <c r="A1193" s="8" t="str">
        <f>HYPERLINK("http://www.patentics.cn/invokexml.do?sx=showpatent_cn&amp;sf=ShowPatent&amp;spn=WO2014127494&amp;sx=showpatent_cn&amp;sv=be7a0047fbcdafbab931dab7468956dd","WO2014127494")</f>
        <v>WO2014127494</v>
      </c>
      <c r="B1193" s="9" t="s">
        <v>6069</v>
      </c>
      <c r="C1193" s="9" t="s">
        <v>6070</v>
      </c>
      <c r="D1193" s="9" t="s">
        <v>117</v>
      </c>
      <c r="E1193" s="9" t="s">
        <v>49</v>
      </c>
      <c r="F1193" s="9" t="s">
        <v>6071</v>
      </c>
      <c r="G1193" s="9" t="s">
        <v>6072</v>
      </c>
      <c r="H1193" s="9" t="s">
        <v>6073</v>
      </c>
      <c r="I1193" s="9" t="s">
        <v>6073</v>
      </c>
      <c r="J1193" s="9" t="s">
        <v>3279</v>
      </c>
      <c r="K1193" s="9" t="s">
        <v>2163</v>
      </c>
      <c r="L1193" s="9" t="s">
        <v>3501</v>
      </c>
      <c r="M1193" s="9">
        <v>50</v>
      </c>
      <c r="N1193" s="9">
        <v>12</v>
      </c>
      <c r="O1193" s="9" t="s">
        <v>850</v>
      </c>
      <c r="P1193" s="9" t="s">
        <v>43</v>
      </c>
      <c r="Q1193" s="9">
        <v>5</v>
      </c>
      <c r="R1193" s="9">
        <v>0</v>
      </c>
      <c r="S1193" s="9">
        <v>5</v>
      </c>
      <c r="T1193" s="9">
        <v>5</v>
      </c>
      <c r="U1193" s="9">
        <v>0</v>
      </c>
      <c r="V1193" s="9" t="s">
        <v>114</v>
      </c>
      <c r="W1193" s="9">
        <v>0</v>
      </c>
      <c r="X1193" s="9">
        <v>0</v>
      </c>
      <c r="Y1193" s="9">
        <v>0</v>
      </c>
      <c r="Z1193" s="9">
        <v>0</v>
      </c>
      <c r="AA1193" s="9">
        <v>5</v>
      </c>
      <c r="AB1193" s="9">
        <v>6</v>
      </c>
      <c r="AC1193" s="9">
        <v>14</v>
      </c>
      <c r="AD1193" s="9" t="s">
        <v>0</v>
      </c>
      <c r="AE1193" s="9" t="s">
        <v>0</v>
      </c>
    </row>
    <row r="1194" spans="1:31" ht="76.5" x14ac:dyDescent="0.2">
      <c r="A1194" s="6" t="str">
        <f>HYPERLINK("http://www.patentics.cn/invokexml.do?sx=showpatent_cn&amp;sf=ShowPatent&amp;spn=CN201628951&amp;sx=showpatent_cn&amp;sv=fe3b6dfafb2b3530cd09b06b2b213a94","CN201628951")</f>
        <v>CN201628951</v>
      </c>
      <c r="B1194" s="7" t="s">
        <v>6074</v>
      </c>
      <c r="C1194" s="7" t="s">
        <v>6075</v>
      </c>
      <c r="D1194" s="7" t="s">
        <v>1942</v>
      </c>
      <c r="E1194" s="7" t="s">
        <v>1942</v>
      </c>
      <c r="F1194" s="7" t="s">
        <v>6076</v>
      </c>
      <c r="G1194" s="7" t="s">
        <v>6077</v>
      </c>
      <c r="H1194" s="7" t="s">
        <v>0</v>
      </c>
      <c r="I1194" s="7" t="s">
        <v>6078</v>
      </c>
      <c r="J1194" s="7" t="s">
        <v>1299</v>
      </c>
      <c r="K1194" s="7" t="s">
        <v>885</v>
      </c>
      <c r="L1194" s="7" t="s">
        <v>6079</v>
      </c>
      <c r="M1194" s="7">
        <v>1</v>
      </c>
      <c r="N1194" s="7">
        <v>19</v>
      </c>
      <c r="O1194" s="7" t="s">
        <v>2185</v>
      </c>
      <c r="P1194" s="7" t="s">
        <v>43</v>
      </c>
      <c r="Q1194" s="7">
        <v>0</v>
      </c>
      <c r="R1194" s="7">
        <v>0</v>
      </c>
      <c r="S1194" s="7">
        <v>0</v>
      </c>
      <c r="T1194" s="7">
        <v>0</v>
      </c>
      <c r="U1194" s="7">
        <v>2</v>
      </c>
      <c r="V1194" s="7" t="s">
        <v>5355</v>
      </c>
      <c r="W1194" s="7">
        <v>1</v>
      </c>
      <c r="X1194" s="7">
        <v>1</v>
      </c>
      <c r="Y1194" s="7">
        <v>2</v>
      </c>
      <c r="Z1194" s="7">
        <v>1</v>
      </c>
      <c r="AA1194" s="7">
        <v>0</v>
      </c>
      <c r="AB1194" s="7">
        <v>0</v>
      </c>
      <c r="AC1194" s="7" t="s">
        <v>0</v>
      </c>
      <c r="AD1194" s="7">
        <v>1</v>
      </c>
      <c r="AE1194" s="7" t="s">
        <v>532</v>
      </c>
    </row>
    <row r="1195" spans="1:31" ht="127.5" x14ac:dyDescent="0.2">
      <c r="A1195" s="8" t="str">
        <f>HYPERLINK("http://www.patentics.cn/invokexml.do?sx=showpatent_cn&amp;sf=ShowPatent&amp;spn=CN104106045B&amp;sx=showpatent_cn&amp;sv=455aeb6b91941a97b9c83f9822a03b0d","CN104106045B")</f>
        <v>CN104106045B</v>
      </c>
      <c r="B1195" s="9" t="s">
        <v>6080</v>
      </c>
      <c r="C1195" s="9" t="s">
        <v>6081</v>
      </c>
      <c r="D1195" s="9" t="s">
        <v>301</v>
      </c>
      <c r="E1195" s="9" t="s">
        <v>301</v>
      </c>
      <c r="F1195" s="9" t="s">
        <v>6082</v>
      </c>
      <c r="G1195" s="9" t="s">
        <v>6083</v>
      </c>
      <c r="H1195" s="9" t="s">
        <v>6084</v>
      </c>
      <c r="I1195" s="9" t="s">
        <v>6085</v>
      </c>
      <c r="J1195" s="9" t="s">
        <v>6010</v>
      </c>
      <c r="K1195" s="9" t="s">
        <v>885</v>
      </c>
      <c r="L1195" s="9" t="s">
        <v>4737</v>
      </c>
      <c r="M1195" s="9">
        <v>8</v>
      </c>
      <c r="N1195" s="9">
        <v>10</v>
      </c>
      <c r="O1195" s="9" t="s">
        <v>57</v>
      </c>
      <c r="P1195" s="9" t="s">
        <v>58</v>
      </c>
      <c r="Q1195" s="9">
        <v>5</v>
      </c>
      <c r="R1195" s="9">
        <v>0</v>
      </c>
      <c r="S1195" s="9">
        <v>5</v>
      </c>
      <c r="T1195" s="9">
        <v>5</v>
      </c>
      <c r="U1195" s="9">
        <v>0</v>
      </c>
      <c r="V1195" s="9" t="s">
        <v>114</v>
      </c>
      <c r="W1195" s="9">
        <v>0</v>
      </c>
      <c r="X1195" s="9">
        <v>0</v>
      </c>
      <c r="Y1195" s="9">
        <v>0</v>
      </c>
      <c r="Z1195" s="9">
        <v>0</v>
      </c>
      <c r="AA1195" s="9">
        <v>0</v>
      </c>
      <c r="AB1195" s="9">
        <v>0</v>
      </c>
      <c r="AC1195" s="9">
        <v>14</v>
      </c>
      <c r="AD1195" s="9" t="s">
        <v>0</v>
      </c>
      <c r="AE1195" s="9" t="s">
        <v>60</v>
      </c>
    </row>
    <row r="1196" spans="1:31" ht="25.5" x14ac:dyDescent="0.2">
      <c r="A1196" s="6" t="str">
        <f>HYPERLINK("http://www.patentics.cn/invokexml.do?sx=showpatent_cn&amp;sf=ShowPatent&amp;spn=CN101877790&amp;sx=showpatent_cn&amp;sv=c59fb89bd72dc12e1fc9a036e714034f","CN101877790")</f>
        <v>CN101877790</v>
      </c>
      <c r="B1196" s="7" t="s">
        <v>6086</v>
      </c>
      <c r="C1196" s="7" t="s">
        <v>6087</v>
      </c>
      <c r="D1196" s="7" t="s">
        <v>6088</v>
      </c>
      <c r="E1196" s="7" t="s">
        <v>6088</v>
      </c>
      <c r="F1196" s="7" t="s">
        <v>6089</v>
      </c>
      <c r="G1196" s="7" t="s">
        <v>6090</v>
      </c>
      <c r="H1196" s="7" t="s">
        <v>1162</v>
      </c>
      <c r="I1196" s="7" t="s">
        <v>1162</v>
      </c>
      <c r="J1196" s="7" t="s">
        <v>3499</v>
      </c>
      <c r="K1196" s="7" t="s">
        <v>714</v>
      </c>
      <c r="L1196" s="7" t="s">
        <v>1346</v>
      </c>
      <c r="M1196" s="7">
        <v>1</v>
      </c>
      <c r="N1196" s="7">
        <v>32</v>
      </c>
      <c r="O1196" s="7" t="s">
        <v>42</v>
      </c>
      <c r="P1196" s="7" t="s">
        <v>43</v>
      </c>
      <c r="Q1196" s="7">
        <v>5</v>
      </c>
      <c r="R1196" s="7">
        <v>0</v>
      </c>
      <c r="S1196" s="7">
        <v>5</v>
      </c>
      <c r="T1196" s="7">
        <v>5</v>
      </c>
      <c r="U1196" s="7">
        <v>2</v>
      </c>
      <c r="V1196" s="7" t="s">
        <v>5651</v>
      </c>
      <c r="W1196" s="7">
        <v>0</v>
      </c>
      <c r="X1196" s="7">
        <v>2</v>
      </c>
      <c r="Y1196" s="7">
        <v>2</v>
      </c>
      <c r="Z1196" s="7">
        <v>2</v>
      </c>
      <c r="AA1196" s="7">
        <v>1</v>
      </c>
      <c r="AB1196" s="7">
        <v>1</v>
      </c>
      <c r="AC1196" s="7" t="s">
        <v>0</v>
      </c>
      <c r="AD1196" s="7">
        <v>1</v>
      </c>
      <c r="AE1196" s="7" t="s">
        <v>60</v>
      </c>
    </row>
    <row r="1197" spans="1:31" x14ac:dyDescent="0.2">
      <c r="A1197" s="8" t="str">
        <f>HYPERLINK("http://www.patentics.cn/invokexml.do?sx=showpatent_cn&amp;sf=ShowPatent&amp;spn=CN103002225B&amp;sx=showpatent_cn&amp;sv=ba789e367adb7189ca76ced2e1310096","CN103002225B")</f>
        <v>CN103002225B</v>
      </c>
      <c r="B1197" s="9" t="s">
        <v>6091</v>
      </c>
      <c r="C1197" s="9" t="s">
        <v>6092</v>
      </c>
      <c r="D1197" s="9" t="s">
        <v>6093</v>
      </c>
      <c r="E1197" s="9" t="s">
        <v>301</v>
      </c>
      <c r="F1197" s="9" t="s">
        <v>6094</v>
      </c>
      <c r="G1197" s="9" t="s">
        <v>6094</v>
      </c>
      <c r="H1197" s="9" t="s">
        <v>3788</v>
      </c>
      <c r="I1197" s="9" t="s">
        <v>3789</v>
      </c>
      <c r="J1197" s="9" t="s">
        <v>2406</v>
      </c>
      <c r="K1197" s="9" t="s">
        <v>714</v>
      </c>
      <c r="L1197" s="9" t="s">
        <v>6095</v>
      </c>
      <c r="M1197" s="9">
        <v>8</v>
      </c>
      <c r="N1197" s="9">
        <v>14</v>
      </c>
      <c r="O1197" s="9" t="s">
        <v>57</v>
      </c>
      <c r="P1197" s="9" t="s">
        <v>58</v>
      </c>
      <c r="Q1197" s="9">
        <v>3</v>
      </c>
      <c r="R1197" s="9">
        <v>0</v>
      </c>
      <c r="S1197" s="9">
        <v>3</v>
      </c>
      <c r="T1197" s="9">
        <v>2</v>
      </c>
      <c r="U1197" s="9">
        <v>0</v>
      </c>
      <c r="V1197" s="9" t="s">
        <v>114</v>
      </c>
      <c r="W1197" s="9">
        <v>0</v>
      </c>
      <c r="X1197" s="9">
        <v>0</v>
      </c>
      <c r="Y1197" s="9">
        <v>0</v>
      </c>
      <c r="Z1197" s="9">
        <v>0</v>
      </c>
      <c r="AA1197" s="9">
        <v>0</v>
      </c>
      <c r="AB1197" s="9">
        <v>0</v>
      </c>
      <c r="AC1197" s="9">
        <v>14</v>
      </c>
      <c r="AD1197" s="9" t="s">
        <v>0</v>
      </c>
      <c r="AE1197" s="9" t="s">
        <v>60</v>
      </c>
    </row>
    <row r="1198" spans="1:31" ht="51" x14ac:dyDescent="0.2">
      <c r="A1198" s="6" t="str">
        <f>HYPERLINK("http://www.patentics.cn/invokexml.do?sx=showpatent_cn&amp;sf=ShowPatent&amp;spn=CN101873692&amp;sx=showpatent_cn&amp;sv=4d8e225949aa38a975f6adb57058b50d","CN101873692")</f>
        <v>CN101873692</v>
      </c>
      <c r="B1198" s="7" t="s">
        <v>6096</v>
      </c>
      <c r="C1198" s="7" t="s">
        <v>6097</v>
      </c>
      <c r="D1198" s="7" t="s">
        <v>35</v>
      </c>
      <c r="E1198" s="7" t="s">
        <v>35</v>
      </c>
      <c r="F1198" s="7" t="s">
        <v>6098</v>
      </c>
      <c r="G1198" s="7" t="s">
        <v>6099</v>
      </c>
      <c r="H1198" s="7" t="s">
        <v>0</v>
      </c>
      <c r="I1198" s="7" t="s">
        <v>6100</v>
      </c>
      <c r="J1198" s="7" t="s">
        <v>2693</v>
      </c>
      <c r="K1198" s="7" t="s">
        <v>55</v>
      </c>
      <c r="L1198" s="7" t="s">
        <v>1175</v>
      </c>
      <c r="M1198" s="7">
        <v>1</v>
      </c>
      <c r="N1198" s="7">
        <v>24</v>
      </c>
      <c r="O1198" s="7" t="s">
        <v>42</v>
      </c>
      <c r="P1198" s="7" t="s">
        <v>43</v>
      </c>
      <c r="Q1198" s="7">
        <v>0</v>
      </c>
      <c r="R1198" s="7">
        <v>0</v>
      </c>
      <c r="S1198" s="7">
        <v>0</v>
      </c>
      <c r="T1198" s="7">
        <v>0</v>
      </c>
      <c r="U1198" s="7">
        <v>7</v>
      </c>
      <c r="V1198" s="7" t="s">
        <v>6101</v>
      </c>
      <c r="W1198" s="7">
        <v>3</v>
      </c>
      <c r="X1198" s="7">
        <v>4</v>
      </c>
      <c r="Y1198" s="7">
        <v>5</v>
      </c>
      <c r="Z1198" s="7">
        <v>3</v>
      </c>
      <c r="AA1198" s="7">
        <v>0</v>
      </c>
      <c r="AB1198" s="7">
        <v>0</v>
      </c>
      <c r="AC1198" s="7" t="s">
        <v>0</v>
      </c>
      <c r="AD1198" s="7">
        <v>1</v>
      </c>
      <c r="AE1198" s="7" t="s">
        <v>1390</v>
      </c>
    </row>
    <row r="1199" spans="1:31" ht="38.25" x14ac:dyDescent="0.2">
      <c r="A1199" s="8" t="str">
        <f>HYPERLINK("http://www.patentics.cn/invokexml.do?sx=showpatent_cn&amp;sf=ShowPatent&amp;spn=US9332383&amp;sx=showpatent_cn&amp;sv=95302435be3d167436a55655afc2752a","US9332383")</f>
        <v>US9332383</v>
      </c>
      <c r="B1199" s="9" t="s">
        <v>6102</v>
      </c>
      <c r="C1199" s="9" t="s">
        <v>6103</v>
      </c>
      <c r="D1199" s="9" t="s">
        <v>48</v>
      </c>
      <c r="E1199" s="9" t="s">
        <v>49</v>
      </c>
      <c r="F1199" s="9" t="s">
        <v>6104</v>
      </c>
      <c r="G1199" s="9" t="s">
        <v>6105</v>
      </c>
      <c r="H1199" s="9" t="s">
        <v>5563</v>
      </c>
      <c r="I1199" s="9" t="s">
        <v>2384</v>
      </c>
      <c r="J1199" s="9" t="s">
        <v>6106</v>
      </c>
      <c r="K1199" s="9" t="s">
        <v>55</v>
      </c>
      <c r="L1199" s="9" t="s">
        <v>1175</v>
      </c>
      <c r="M1199" s="9">
        <v>27</v>
      </c>
      <c r="N1199" s="9">
        <v>21</v>
      </c>
      <c r="O1199" s="9" t="s">
        <v>57</v>
      </c>
      <c r="P1199" s="9" t="s">
        <v>58</v>
      </c>
      <c r="Q1199" s="9">
        <v>94</v>
      </c>
      <c r="R1199" s="9">
        <v>36</v>
      </c>
      <c r="S1199" s="9">
        <v>58</v>
      </c>
      <c r="T1199" s="9">
        <v>40</v>
      </c>
      <c r="U1199" s="9">
        <v>0</v>
      </c>
      <c r="V1199" s="9" t="s">
        <v>114</v>
      </c>
      <c r="W1199" s="9">
        <v>0</v>
      </c>
      <c r="X1199" s="9">
        <v>0</v>
      </c>
      <c r="Y1199" s="9">
        <v>0</v>
      </c>
      <c r="Z1199" s="9">
        <v>0</v>
      </c>
      <c r="AA1199" s="9">
        <v>11</v>
      </c>
      <c r="AB1199" s="9">
        <v>7</v>
      </c>
      <c r="AC1199" s="9">
        <v>14</v>
      </c>
      <c r="AD1199" s="9" t="s">
        <v>0</v>
      </c>
      <c r="AE1199" s="9" t="s">
        <v>60</v>
      </c>
    </row>
    <row r="1200" spans="1:31" ht="51" x14ac:dyDescent="0.2">
      <c r="A1200" s="6" t="str">
        <f>HYPERLINK("http://www.patentics.cn/invokexml.do?sx=showpatent_cn&amp;sf=ShowPatent&amp;spn=CN101873500&amp;sx=showpatent_cn&amp;sv=29776dde5c2c60f0767f069afb6461d1","CN101873500")</f>
        <v>CN101873500</v>
      </c>
      <c r="B1200" s="7" t="s">
        <v>6107</v>
      </c>
      <c r="C1200" s="7" t="s">
        <v>6108</v>
      </c>
      <c r="D1200" s="7" t="s">
        <v>6109</v>
      </c>
      <c r="E1200" s="7" t="s">
        <v>6109</v>
      </c>
      <c r="F1200" s="7" t="s">
        <v>6110</v>
      </c>
      <c r="G1200" s="7" t="s">
        <v>6111</v>
      </c>
      <c r="H1200" s="7" t="s">
        <v>6112</v>
      </c>
      <c r="I1200" s="7" t="s">
        <v>6112</v>
      </c>
      <c r="J1200" s="7" t="s">
        <v>2693</v>
      </c>
      <c r="K1200" s="7" t="s">
        <v>714</v>
      </c>
      <c r="L1200" s="7" t="s">
        <v>2278</v>
      </c>
      <c r="M1200" s="7">
        <v>14</v>
      </c>
      <c r="N1200" s="7">
        <v>11</v>
      </c>
      <c r="O1200" s="7" t="s">
        <v>42</v>
      </c>
      <c r="P1200" s="7" t="s">
        <v>43</v>
      </c>
      <c r="Q1200" s="7">
        <v>0</v>
      </c>
      <c r="R1200" s="7">
        <v>0</v>
      </c>
      <c r="S1200" s="7">
        <v>0</v>
      </c>
      <c r="T1200" s="7">
        <v>0</v>
      </c>
      <c r="U1200" s="7">
        <v>9</v>
      </c>
      <c r="V1200" s="7" t="s">
        <v>6113</v>
      </c>
      <c r="W1200" s="7">
        <v>5</v>
      </c>
      <c r="X1200" s="7">
        <v>4</v>
      </c>
      <c r="Y1200" s="7">
        <v>3</v>
      </c>
      <c r="Z1200" s="7">
        <v>3</v>
      </c>
      <c r="AA1200" s="7">
        <v>1</v>
      </c>
      <c r="AB1200" s="7">
        <v>1</v>
      </c>
      <c r="AC1200" s="7" t="s">
        <v>0</v>
      </c>
      <c r="AD1200" s="7">
        <v>1</v>
      </c>
      <c r="AE1200" s="7" t="s">
        <v>60</v>
      </c>
    </row>
    <row r="1201" spans="1:31" ht="51" x14ac:dyDescent="0.2">
      <c r="A1201" s="8" t="str">
        <f>HYPERLINK("http://www.patentics.cn/invokexml.do?sx=showpatent_cn&amp;sf=ShowPatent&amp;spn=WO2015006884&amp;sx=showpatent_cn&amp;sv=0f89257f850d346efd754c876df5bd70","WO2015006884")</f>
        <v>WO2015006884</v>
      </c>
      <c r="B1201" s="9" t="s">
        <v>6114</v>
      </c>
      <c r="C1201" s="9" t="s">
        <v>6115</v>
      </c>
      <c r="D1201" s="9" t="s">
        <v>117</v>
      </c>
      <c r="E1201" s="9" t="s">
        <v>49</v>
      </c>
      <c r="F1201" s="9" t="s">
        <v>6116</v>
      </c>
      <c r="G1201" s="9" t="s">
        <v>6117</v>
      </c>
      <c r="H1201" s="9" t="s">
        <v>0</v>
      </c>
      <c r="I1201" s="9" t="s">
        <v>6118</v>
      </c>
      <c r="J1201" s="9" t="s">
        <v>6119</v>
      </c>
      <c r="K1201" s="9" t="s">
        <v>714</v>
      </c>
      <c r="L1201" s="9" t="s">
        <v>6120</v>
      </c>
      <c r="M1201" s="9">
        <v>156</v>
      </c>
      <c r="N1201" s="9">
        <v>15</v>
      </c>
      <c r="O1201" s="9" t="s">
        <v>850</v>
      </c>
      <c r="P1201" s="9" t="s">
        <v>1932</v>
      </c>
      <c r="Q1201" s="9">
        <v>5</v>
      </c>
      <c r="R1201" s="9">
        <v>1</v>
      </c>
      <c r="S1201" s="9">
        <v>4</v>
      </c>
      <c r="T1201" s="9">
        <v>4</v>
      </c>
      <c r="U1201" s="9">
        <v>1</v>
      </c>
      <c r="V1201" s="9" t="s">
        <v>484</v>
      </c>
      <c r="W1201" s="9">
        <v>1</v>
      </c>
      <c r="X1201" s="9">
        <v>0</v>
      </c>
      <c r="Y1201" s="9">
        <v>1</v>
      </c>
      <c r="Z1201" s="9">
        <v>1</v>
      </c>
      <c r="AA1201" s="9">
        <v>0</v>
      </c>
      <c r="AB1201" s="9">
        <v>0</v>
      </c>
      <c r="AC1201" s="9">
        <v>14</v>
      </c>
      <c r="AD1201" s="9" t="s">
        <v>0</v>
      </c>
      <c r="AE1201" s="9" t="s">
        <v>0</v>
      </c>
    </row>
    <row r="1202" spans="1:31" ht="25.5" x14ac:dyDescent="0.2">
      <c r="A1202" s="6" t="str">
        <f>HYPERLINK("http://www.patentics.cn/invokexml.do?sx=showpatent_cn&amp;sf=ShowPatent&amp;spn=CN101867821&amp;sx=showpatent_cn&amp;sv=74dc501c6278e2235784b075fc1b0816","CN101867821")</f>
        <v>CN101867821</v>
      </c>
      <c r="B1202" s="7" t="s">
        <v>6121</v>
      </c>
      <c r="C1202" s="7" t="s">
        <v>6122</v>
      </c>
      <c r="D1202" s="7" t="s">
        <v>1341</v>
      </c>
      <c r="E1202" s="7" t="s">
        <v>1341</v>
      </c>
      <c r="F1202" s="7" t="s">
        <v>6123</v>
      </c>
      <c r="G1202" s="7" t="s">
        <v>6124</v>
      </c>
      <c r="H1202" s="7" t="s">
        <v>1298</v>
      </c>
      <c r="I1202" s="7" t="s">
        <v>1298</v>
      </c>
      <c r="J1202" s="7" t="s">
        <v>5353</v>
      </c>
      <c r="K1202" s="7" t="s">
        <v>714</v>
      </c>
      <c r="L1202" s="7" t="s">
        <v>1346</v>
      </c>
      <c r="M1202" s="7">
        <v>10</v>
      </c>
      <c r="N1202" s="7">
        <v>18</v>
      </c>
      <c r="O1202" s="7" t="s">
        <v>42</v>
      </c>
      <c r="P1202" s="7" t="s">
        <v>43</v>
      </c>
      <c r="Q1202" s="7">
        <v>5</v>
      </c>
      <c r="R1202" s="7">
        <v>0</v>
      </c>
      <c r="S1202" s="7">
        <v>5</v>
      </c>
      <c r="T1202" s="7">
        <v>4</v>
      </c>
      <c r="U1202" s="7">
        <v>6</v>
      </c>
      <c r="V1202" s="7" t="s">
        <v>2301</v>
      </c>
      <c r="W1202" s="7">
        <v>0</v>
      </c>
      <c r="X1202" s="7">
        <v>6</v>
      </c>
      <c r="Y1202" s="7">
        <v>3</v>
      </c>
      <c r="Z1202" s="7">
        <v>3</v>
      </c>
      <c r="AA1202" s="7">
        <v>1</v>
      </c>
      <c r="AB1202" s="7">
        <v>1</v>
      </c>
      <c r="AC1202" s="7" t="s">
        <v>0</v>
      </c>
      <c r="AD1202" s="7">
        <v>1</v>
      </c>
      <c r="AE1202" s="7" t="s">
        <v>60</v>
      </c>
    </row>
    <row r="1203" spans="1:31" ht="51" x14ac:dyDescent="0.2">
      <c r="A1203" s="8" t="str">
        <f>HYPERLINK("http://www.patentics.cn/invokexml.do?sx=showpatent_cn&amp;sf=ShowPatent&amp;spn=US9749661&amp;sx=showpatent_cn&amp;sv=b0c080adbfa92ac8d5236ccde7447d03","US9749661")</f>
        <v>US9749661</v>
      </c>
      <c r="B1203" s="9" t="s">
        <v>6125</v>
      </c>
      <c r="C1203" s="9" t="s">
        <v>6126</v>
      </c>
      <c r="D1203" s="9" t="s">
        <v>48</v>
      </c>
      <c r="E1203" s="9" t="s">
        <v>49</v>
      </c>
      <c r="F1203" s="9" t="s">
        <v>6127</v>
      </c>
      <c r="G1203" s="9" t="s">
        <v>2275</v>
      </c>
      <c r="H1203" s="9" t="s">
        <v>3361</v>
      </c>
      <c r="I1203" s="9" t="s">
        <v>6128</v>
      </c>
      <c r="J1203" s="9" t="s">
        <v>1332</v>
      </c>
      <c r="K1203" s="9" t="s">
        <v>714</v>
      </c>
      <c r="L1203" s="9" t="s">
        <v>1346</v>
      </c>
      <c r="M1203" s="9">
        <v>29</v>
      </c>
      <c r="N1203" s="9">
        <v>31</v>
      </c>
      <c r="O1203" s="9" t="s">
        <v>57</v>
      </c>
      <c r="P1203" s="9" t="s">
        <v>58</v>
      </c>
      <c r="Q1203" s="9">
        <v>16</v>
      </c>
      <c r="R1203" s="9">
        <v>2</v>
      </c>
      <c r="S1203" s="9">
        <v>14</v>
      </c>
      <c r="T1203" s="9">
        <v>10</v>
      </c>
      <c r="U1203" s="9">
        <v>0</v>
      </c>
      <c r="V1203" s="9" t="s">
        <v>114</v>
      </c>
      <c r="W1203" s="9">
        <v>0</v>
      </c>
      <c r="X1203" s="9">
        <v>0</v>
      </c>
      <c r="Y1203" s="9">
        <v>0</v>
      </c>
      <c r="Z1203" s="9">
        <v>0</v>
      </c>
      <c r="AA1203" s="9">
        <v>40</v>
      </c>
      <c r="AB1203" s="9">
        <v>16</v>
      </c>
      <c r="AC1203" s="9">
        <v>14</v>
      </c>
      <c r="AD1203" s="9" t="s">
        <v>0</v>
      </c>
      <c r="AE1203" s="9" t="s">
        <v>60</v>
      </c>
    </row>
    <row r="1204" spans="1:31" ht="102" x14ac:dyDescent="0.2">
      <c r="A1204" s="6" t="str">
        <f>HYPERLINK("http://www.patentics.cn/invokexml.do?sx=showpatent_cn&amp;sf=ShowPatent&amp;spn=CN101860664&amp;sx=showpatent_cn&amp;sv=0fb614e1839e2fe85ca3ddefa63c84ba","CN101860664")</f>
        <v>CN101860664</v>
      </c>
      <c r="B1204" s="7" t="s">
        <v>6129</v>
      </c>
      <c r="C1204" s="7" t="s">
        <v>6130</v>
      </c>
      <c r="D1204" s="7" t="s">
        <v>432</v>
      </c>
      <c r="E1204" s="7" t="s">
        <v>432</v>
      </c>
      <c r="F1204" s="7" t="s">
        <v>6131</v>
      </c>
      <c r="G1204" s="7" t="s">
        <v>6132</v>
      </c>
      <c r="H1204" s="7" t="s">
        <v>0</v>
      </c>
      <c r="I1204" s="7" t="s">
        <v>6133</v>
      </c>
      <c r="J1204" s="7" t="s">
        <v>3558</v>
      </c>
      <c r="K1204" s="7" t="s">
        <v>714</v>
      </c>
      <c r="L1204" s="7" t="s">
        <v>4111</v>
      </c>
      <c r="M1204" s="7">
        <v>5</v>
      </c>
      <c r="N1204" s="7">
        <v>18</v>
      </c>
      <c r="O1204" s="7" t="s">
        <v>42</v>
      </c>
      <c r="P1204" s="7" t="s">
        <v>43</v>
      </c>
      <c r="Q1204" s="7">
        <v>0</v>
      </c>
      <c r="R1204" s="7">
        <v>0</v>
      </c>
      <c r="S1204" s="7">
        <v>0</v>
      </c>
      <c r="T1204" s="7">
        <v>0</v>
      </c>
      <c r="U1204" s="7">
        <v>9</v>
      </c>
      <c r="V1204" s="7" t="s">
        <v>6134</v>
      </c>
      <c r="W1204" s="7">
        <v>0</v>
      </c>
      <c r="X1204" s="7">
        <v>9</v>
      </c>
      <c r="Y1204" s="7">
        <v>7</v>
      </c>
      <c r="Z1204" s="7">
        <v>3</v>
      </c>
      <c r="AA1204" s="7">
        <v>0</v>
      </c>
      <c r="AB1204" s="7">
        <v>0</v>
      </c>
      <c r="AC1204" s="7" t="s">
        <v>0</v>
      </c>
      <c r="AD1204" s="7">
        <v>1</v>
      </c>
      <c r="AE1204" s="7" t="s">
        <v>45</v>
      </c>
    </row>
    <row r="1205" spans="1:31" ht="76.5" x14ac:dyDescent="0.2">
      <c r="A1205" s="8" t="str">
        <f>HYPERLINK("http://www.patentics.cn/invokexml.do?sx=showpatent_cn&amp;sf=ShowPatent&amp;spn=WO2016095081&amp;sx=showpatent_cn&amp;sv=e7990688783dca8736769fc9372b8c95","WO2016095081")</f>
        <v>WO2016095081</v>
      </c>
      <c r="B1205" s="9" t="s">
        <v>5452</v>
      </c>
      <c r="C1205" s="9" t="s">
        <v>5453</v>
      </c>
      <c r="D1205" s="9" t="s">
        <v>117</v>
      </c>
      <c r="E1205" s="9" t="s">
        <v>49</v>
      </c>
      <c r="F1205" s="9" t="s">
        <v>5454</v>
      </c>
      <c r="G1205" s="9" t="s">
        <v>5455</v>
      </c>
      <c r="H1205" s="9" t="s">
        <v>0</v>
      </c>
      <c r="I1205" s="9" t="s">
        <v>797</v>
      </c>
      <c r="J1205" s="9" t="s">
        <v>3140</v>
      </c>
      <c r="K1205" s="9" t="s">
        <v>2163</v>
      </c>
      <c r="L1205" s="9" t="s">
        <v>3162</v>
      </c>
      <c r="M1205" s="9">
        <v>30</v>
      </c>
      <c r="N1205" s="9">
        <v>0</v>
      </c>
      <c r="O1205" s="9" t="s">
        <v>850</v>
      </c>
      <c r="P1205" s="9" t="s">
        <v>1932</v>
      </c>
      <c r="Q1205" s="9">
        <v>5</v>
      </c>
      <c r="R1205" s="9">
        <v>0</v>
      </c>
      <c r="S1205" s="9">
        <v>5</v>
      </c>
      <c r="T1205" s="9">
        <v>5</v>
      </c>
      <c r="U1205" s="9">
        <v>0</v>
      </c>
      <c r="V1205" s="9" t="s">
        <v>114</v>
      </c>
      <c r="W1205" s="9">
        <v>0</v>
      </c>
      <c r="X1205" s="9">
        <v>0</v>
      </c>
      <c r="Y1205" s="9">
        <v>0</v>
      </c>
      <c r="Z1205" s="9">
        <v>0</v>
      </c>
      <c r="AA1205" s="9">
        <v>0</v>
      </c>
      <c r="AB1205" s="9">
        <v>0</v>
      </c>
      <c r="AC1205" s="9">
        <v>14</v>
      </c>
      <c r="AD1205" s="9" t="s">
        <v>0</v>
      </c>
      <c r="AE1205" s="9" t="s">
        <v>0</v>
      </c>
    </row>
    <row r="1206" spans="1:31" ht="38.25" x14ac:dyDescent="0.2">
      <c r="A1206" s="6" t="str">
        <f>HYPERLINK("http://www.patentics.cn/invokexml.do?sx=showpatent_cn&amp;sf=ShowPatent&amp;spn=CN101859289&amp;sx=showpatent_cn&amp;sv=821b7780fc22ee2874401caff3f6ae44","CN101859289")</f>
        <v>CN101859289</v>
      </c>
      <c r="B1206" s="7" t="s">
        <v>6135</v>
      </c>
      <c r="C1206" s="7" t="s">
        <v>6136</v>
      </c>
      <c r="D1206" s="7" t="s">
        <v>432</v>
      </c>
      <c r="E1206" s="7" t="s">
        <v>432</v>
      </c>
      <c r="F1206" s="7" t="s">
        <v>6137</v>
      </c>
      <c r="G1206" s="7" t="s">
        <v>6138</v>
      </c>
      <c r="H1206" s="7" t="s">
        <v>5823</v>
      </c>
      <c r="I1206" s="7" t="s">
        <v>5823</v>
      </c>
      <c r="J1206" s="7" t="s">
        <v>3558</v>
      </c>
      <c r="K1206" s="7" t="s">
        <v>885</v>
      </c>
      <c r="L1206" s="7" t="s">
        <v>6139</v>
      </c>
      <c r="M1206" s="7">
        <v>10</v>
      </c>
      <c r="N1206" s="7">
        <v>45</v>
      </c>
      <c r="O1206" s="7" t="s">
        <v>42</v>
      </c>
      <c r="P1206" s="7" t="s">
        <v>43</v>
      </c>
      <c r="Q1206" s="7">
        <v>3</v>
      </c>
      <c r="R1206" s="7">
        <v>0</v>
      </c>
      <c r="S1206" s="7">
        <v>3</v>
      </c>
      <c r="T1206" s="7">
        <v>2</v>
      </c>
      <c r="U1206" s="7">
        <v>6</v>
      </c>
      <c r="V1206" s="7" t="s">
        <v>6140</v>
      </c>
      <c r="W1206" s="7">
        <v>0</v>
      </c>
      <c r="X1206" s="7">
        <v>6</v>
      </c>
      <c r="Y1206" s="7">
        <v>4</v>
      </c>
      <c r="Z1206" s="7">
        <v>2</v>
      </c>
      <c r="AA1206" s="7">
        <v>1</v>
      </c>
      <c r="AB1206" s="7">
        <v>1</v>
      </c>
      <c r="AC1206" s="7" t="s">
        <v>0</v>
      </c>
      <c r="AD1206" s="7">
        <v>1</v>
      </c>
      <c r="AE1206" s="7" t="s">
        <v>532</v>
      </c>
    </row>
    <row r="1207" spans="1:31" ht="140.25" x14ac:dyDescent="0.2">
      <c r="A1207" s="8" t="str">
        <f>HYPERLINK("http://www.patentics.cn/invokexml.do?sx=showpatent_cn&amp;sf=ShowPatent&amp;spn=US9396070&amp;sx=showpatent_cn&amp;sv=103cfafb924fa4c1c204c5e319ce39ad","US9396070")</f>
        <v>US9396070</v>
      </c>
      <c r="B1207" s="9" t="s">
        <v>6141</v>
      </c>
      <c r="C1207" s="9" t="s">
        <v>6142</v>
      </c>
      <c r="D1207" s="9" t="s">
        <v>578</v>
      </c>
      <c r="E1207" s="9" t="s">
        <v>49</v>
      </c>
      <c r="F1207" s="9" t="s">
        <v>6143</v>
      </c>
      <c r="G1207" s="9" t="s">
        <v>6144</v>
      </c>
      <c r="H1207" s="9" t="s">
        <v>6145</v>
      </c>
      <c r="I1207" s="9" t="s">
        <v>6145</v>
      </c>
      <c r="J1207" s="9" t="s">
        <v>821</v>
      </c>
      <c r="K1207" s="9" t="s">
        <v>885</v>
      </c>
      <c r="L1207" s="9" t="s">
        <v>1650</v>
      </c>
      <c r="M1207" s="9">
        <v>30</v>
      </c>
      <c r="N1207" s="9">
        <v>12</v>
      </c>
      <c r="O1207" s="9" t="s">
        <v>57</v>
      </c>
      <c r="P1207" s="9" t="s">
        <v>58</v>
      </c>
      <c r="Q1207" s="9">
        <v>10</v>
      </c>
      <c r="R1207" s="9">
        <v>1</v>
      </c>
      <c r="S1207" s="9">
        <v>9</v>
      </c>
      <c r="T1207" s="9">
        <v>8</v>
      </c>
      <c r="U1207" s="9">
        <v>0</v>
      </c>
      <c r="V1207" s="9" t="s">
        <v>114</v>
      </c>
      <c r="W1207" s="9">
        <v>0</v>
      </c>
      <c r="X1207" s="9">
        <v>0</v>
      </c>
      <c r="Y1207" s="9">
        <v>0</v>
      </c>
      <c r="Z1207" s="9">
        <v>0</v>
      </c>
      <c r="AA1207" s="9">
        <v>4</v>
      </c>
      <c r="AB1207" s="9">
        <v>4</v>
      </c>
      <c r="AC1207" s="9">
        <v>14</v>
      </c>
      <c r="AD1207" s="9" t="s">
        <v>0</v>
      </c>
      <c r="AE1207" s="9" t="s">
        <v>60</v>
      </c>
    </row>
    <row r="1208" spans="1:31" ht="63.75" x14ac:dyDescent="0.2">
      <c r="A1208" s="6" t="str">
        <f>HYPERLINK("http://www.patentics.cn/invokexml.do?sx=showpatent_cn&amp;sf=ShowPatent&amp;spn=CN101860937&amp;sx=showpatent_cn&amp;sv=c858e761508e4320ba2c035bdddf5f01","CN101860937")</f>
        <v>CN101860937</v>
      </c>
      <c r="B1208" s="7" t="s">
        <v>6146</v>
      </c>
      <c r="C1208" s="7" t="s">
        <v>6147</v>
      </c>
      <c r="D1208" s="7" t="s">
        <v>4056</v>
      </c>
      <c r="E1208" s="7" t="s">
        <v>4056</v>
      </c>
      <c r="F1208" s="7" t="s">
        <v>6148</v>
      </c>
      <c r="G1208" s="7" t="s">
        <v>6149</v>
      </c>
      <c r="H1208" s="7" t="s">
        <v>6150</v>
      </c>
      <c r="I1208" s="7" t="s">
        <v>6150</v>
      </c>
      <c r="J1208" s="7" t="s">
        <v>3558</v>
      </c>
      <c r="K1208" s="7" t="s">
        <v>55</v>
      </c>
      <c r="L1208" s="7" t="s">
        <v>2429</v>
      </c>
      <c r="M1208" s="7">
        <v>9</v>
      </c>
      <c r="N1208" s="7">
        <v>18</v>
      </c>
      <c r="O1208" s="7" t="s">
        <v>42</v>
      </c>
      <c r="P1208" s="7" t="s">
        <v>43</v>
      </c>
      <c r="Q1208" s="7">
        <v>3</v>
      </c>
      <c r="R1208" s="7">
        <v>0</v>
      </c>
      <c r="S1208" s="7">
        <v>3</v>
      </c>
      <c r="T1208" s="7">
        <v>3</v>
      </c>
      <c r="U1208" s="7">
        <v>13</v>
      </c>
      <c r="V1208" s="7" t="s">
        <v>6151</v>
      </c>
      <c r="W1208" s="7">
        <v>2</v>
      </c>
      <c r="X1208" s="7">
        <v>11</v>
      </c>
      <c r="Y1208" s="7">
        <v>7</v>
      </c>
      <c r="Z1208" s="7">
        <v>3</v>
      </c>
      <c r="AA1208" s="7">
        <v>1</v>
      </c>
      <c r="AB1208" s="7">
        <v>1</v>
      </c>
      <c r="AC1208" s="7" t="s">
        <v>0</v>
      </c>
      <c r="AD1208" s="7">
        <v>1</v>
      </c>
      <c r="AE1208" s="7" t="s">
        <v>532</v>
      </c>
    </row>
    <row r="1209" spans="1:31" ht="89.25" x14ac:dyDescent="0.2">
      <c r="A1209" s="8" t="str">
        <f>HYPERLINK("http://www.patentics.cn/invokexml.do?sx=showpatent_cn&amp;sf=ShowPatent&amp;spn=US9578515&amp;sx=showpatent_cn&amp;sv=32de7974f7635f78ef15770b4c624e42","US9578515")</f>
        <v>US9578515</v>
      </c>
      <c r="B1209" s="9" t="s">
        <v>6152</v>
      </c>
      <c r="C1209" s="9" t="s">
        <v>6153</v>
      </c>
      <c r="D1209" s="9" t="s">
        <v>48</v>
      </c>
      <c r="E1209" s="9" t="s">
        <v>49</v>
      </c>
      <c r="F1209" s="9" t="s">
        <v>6154</v>
      </c>
      <c r="G1209" s="9" t="s">
        <v>6155</v>
      </c>
      <c r="H1209" s="9" t="s">
        <v>5748</v>
      </c>
      <c r="I1209" s="9" t="s">
        <v>6156</v>
      </c>
      <c r="J1209" s="9" t="s">
        <v>1411</v>
      </c>
      <c r="K1209" s="9" t="s">
        <v>55</v>
      </c>
      <c r="L1209" s="9" t="s">
        <v>56</v>
      </c>
      <c r="M1209" s="9">
        <v>21</v>
      </c>
      <c r="N1209" s="9">
        <v>19</v>
      </c>
      <c r="O1209" s="9" t="s">
        <v>57</v>
      </c>
      <c r="P1209" s="9" t="s">
        <v>58</v>
      </c>
      <c r="Q1209" s="9">
        <v>35</v>
      </c>
      <c r="R1209" s="9">
        <v>2</v>
      </c>
      <c r="S1209" s="9">
        <v>33</v>
      </c>
      <c r="T1209" s="9">
        <v>25</v>
      </c>
      <c r="U1209" s="9">
        <v>0</v>
      </c>
      <c r="V1209" s="9" t="s">
        <v>114</v>
      </c>
      <c r="W1209" s="9">
        <v>0</v>
      </c>
      <c r="X1209" s="9">
        <v>0</v>
      </c>
      <c r="Y1209" s="9">
        <v>0</v>
      </c>
      <c r="Z1209" s="9">
        <v>0</v>
      </c>
      <c r="AA1209" s="9">
        <v>8</v>
      </c>
      <c r="AB1209" s="9">
        <v>6</v>
      </c>
      <c r="AC1209" s="9">
        <v>14</v>
      </c>
      <c r="AD1209" s="9" t="s">
        <v>0</v>
      </c>
      <c r="AE1209" s="9" t="s">
        <v>60</v>
      </c>
    </row>
    <row r="1210" spans="1:31" ht="51" x14ac:dyDescent="0.2">
      <c r="A1210" s="6" t="str">
        <f>HYPERLINK("http://www.patentics.cn/invokexml.do?sx=showpatent_cn&amp;sf=ShowPatent&amp;spn=CN101833767&amp;sx=showpatent_cn&amp;sv=24f551b391d5383288f81a72d7b865b6","CN101833767")</f>
        <v>CN101833767</v>
      </c>
      <c r="B1210" s="7" t="s">
        <v>6157</v>
      </c>
      <c r="C1210" s="7" t="s">
        <v>6158</v>
      </c>
      <c r="D1210" s="7" t="s">
        <v>6159</v>
      </c>
      <c r="E1210" s="7" t="s">
        <v>6159</v>
      </c>
      <c r="F1210" s="7" t="s">
        <v>6160</v>
      </c>
      <c r="G1210" s="7" t="s">
        <v>6161</v>
      </c>
      <c r="H1210" s="7" t="s">
        <v>1919</v>
      </c>
      <c r="I1210" s="7" t="s">
        <v>1919</v>
      </c>
      <c r="J1210" s="7" t="s">
        <v>3520</v>
      </c>
      <c r="K1210" s="7" t="s">
        <v>2163</v>
      </c>
      <c r="L1210" s="7" t="s">
        <v>3162</v>
      </c>
      <c r="M1210" s="7">
        <v>6</v>
      </c>
      <c r="N1210" s="7">
        <v>44</v>
      </c>
      <c r="O1210" s="7" t="s">
        <v>42</v>
      </c>
      <c r="P1210" s="7" t="s">
        <v>43</v>
      </c>
      <c r="Q1210" s="7">
        <v>2</v>
      </c>
      <c r="R1210" s="7">
        <v>0</v>
      </c>
      <c r="S1210" s="7">
        <v>2</v>
      </c>
      <c r="T1210" s="7">
        <v>2</v>
      </c>
      <c r="U1210" s="7">
        <v>13</v>
      </c>
      <c r="V1210" s="7" t="s">
        <v>6162</v>
      </c>
      <c r="W1210" s="7">
        <v>4</v>
      </c>
      <c r="X1210" s="7">
        <v>9</v>
      </c>
      <c r="Y1210" s="7">
        <v>6</v>
      </c>
      <c r="Z1210" s="7">
        <v>3</v>
      </c>
      <c r="AA1210" s="7">
        <v>1</v>
      </c>
      <c r="AB1210" s="7">
        <v>1</v>
      </c>
      <c r="AC1210" s="7" t="s">
        <v>0</v>
      </c>
      <c r="AD1210" s="7">
        <v>1</v>
      </c>
      <c r="AE1210" s="7" t="s">
        <v>532</v>
      </c>
    </row>
    <row r="1211" spans="1:31" ht="178.5" x14ac:dyDescent="0.2">
      <c r="A1211" s="8" t="str">
        <f>HYPERLINK("http://www.patentics.cn/invokexml.do?sx=showpatent_cn&amp;sf=ShowPatent&amp;spn=US9692991&amp;sx=showpatent_cn&amp;sv=2851e91d37ba1429ffea72127c242cf6","US9692991")</f>
        <v>US9692991</v>
      </c>
      <c r="B1211" s="9" t="s">
        <v>5714</v>
      </c>
      <c r="C1211" s="9" t="s">
        <v>5715</v>
      </c>
      <c r="D1211" s="9" t="s">
        <v>48</v>
      </c>
      <c r="E1211" s="9" t="s">
        <v>49</v>
      </c>
      <c r="F1211" s="9" t="s">
        <v>5716</v>
      </c>
      <c r="G1211" s="9" t="s">
        <v>5717</v>
      </c>
      <c r="H1211" s="9" t="s">
        <v>5718</v>
      </c>
      <c r="I1211" s="9" t="s">
        <v>5719</v>
      </c>
      <c r="J1211" s="9" t="s">
        <v>298</v>
      </c>
      <c r="K1211" s="9" t="s">
        <v>714</v>
      </c>
      <c r="L1211" s="9" t="s">
        <v>5720</v>
      </c>
      <c r="M1211" s="9">
        <v>24</v>
      </c>
      <c r="N1211" s="9">
        <v>21</v>
      </c>
      <c r="O1211" s="9" t="s">
        <v>57</v>
      </c>
      <c r="P1211" s="9" t="s">
        <v>58</v>
      </c>
      <c r="Q1211" s="9">
        <v>36</v>
      </c>
      <c r="R1211" s="9">
        <v>0</v>
      </c>
      <c r="S1211" s="9">
        <v>36</v>
      </c>
      <c r="T1211" s="9">
        <v>25</v>
      </c>
      <c r="U1211" s="9">
        <v>0</v>
      </c>
      <c r="V1211" s="9" t="s">
        <v>114</v>
      </c>
      <c r="W1211" s="9">
        <v>0</v>
      </c>
      <c r="X1211" s="9">
        <v>0</v>
      </c>
      <c r="Y1211" s="9">
        <v>0</v>
      </c>
      <c r="Z1211" s="9">
        <v>0</v>
      </c>
      <c r="AA1211" s="9">
        <v>10</v>
      </c>
      <c r="AB1211" s="9">
        <v>7</v>
      </c>
      <c r="AC1211" s="9">
        <v>14</v>
      </c>
      <c r="AD1211" s="9" t="s">
        <v>0</v>
      </c>
      <c r="AE1211" s="9" t="s">
        <v>60</v>
      </c>
    </row>
    <row r="1212" spans="1:31" ht="63.75" x14ac:dyDescent="0.2">
      <c r="A1212" s="6" t="str">
        <f>HYPERLINK("http://www.patentics.cn/invokexml.do?sx=showpatent_cn&amp;sf=ShowPatent&amp;spn=CN101834576&amp;sx=showpatent_cn&amp;sv=0c6beead94c1fc5258b847d93c6b2a9b","CN101834576")</f>
        <v>CN101834576</v>
      </c>
      <c r="B1212" s="7" t="s">
        <v>6163</v>
      </c>
      <c r="C1212" s="7" t="s">
        <v>6164</v>
      </c>
      <c r="D1212" s="7" t="s">
        <v>524</v>
      </c>
      <c r="E1212" s="7" t="s">
        <v>524</v>
      </c>
      <c r="F1212" s="7" t="s">
        <v>6165</v>
      </c>
      <c r="G1212" s="7" t="s">
        <v>6166</v>
      </c>
      <c r="H1212" s="7" t="s">
        <v>6167</v>
      </c>
      <c r="I1212" s="7" t="s">
        <v>6167</v>
      </c>
      <c r="J1212" s="7" t="s">
        <v>3520</v>
      </c>
      <c r="K1212" s="7" t="s">
        <v>1993</v>
      </c>
      <c r="L1212" s="7" t="s">
        <v>2200</v>
      </c>
      <c r="M1212" s="7">
        <v>1</v>
      </c>
      <c r="N1212" s="7">
        <v>53</v>
      </c>
      <c r="O1212" s="7" t="s">
        <v>42</v>
      </c>
      <c r="P1212" s="7" t="s">
        <v>43</v>
      </c>
      <c r="Q1212" s="7">
        <v>3</v>
      </c>
      <c r="R1212" s="7">
        <v>2</v>
      </c>
      <c r="S1212" s="7">
        <v>1</v>
      </c>
      <c r="T1212" s="7">
        <v>2</v>
      </c>
      <c r="U1212" s="7">
        <v>12</v>
      </c>
      <c r="V1212" s="7" t="s">
        <v>6168</v>
      </c>
      <c r="W1212" s="7">
        <v>0</v>
      </c>
      <c r="X1212" s="7">
        <v>12</v>
      </c>
      <c r="Y1212" s="7">
        <v>4</v>
      </c>
      <c r="Z1212" s="7">
        <v>3</v>
      </c>
      <c r="AA1212" s="7">
        <v>1</v>
      </c>
      <c r="AB1212" s="7">
        <v>1</v>
      </c>
      <c r="AC1212" s="7" t="s">
        <v>0</v>
      </c>
      <c r="AD1212" s="7">
        <v>1</v>
      </c>
      <c r="AE1212" s="7" t="s">
        <v>60</v>
      </c>
    </row>
    <row r="1213" spans="1:31" ht="25.5" x14ac:dyDescent="0.2">
      <c r="A1213" s="8" t="str">
        <f>HYPERLINK("http://www.patentics.cn/invokexml.do?sx=showpatent_cn&amp;sf=ShowPatent&amp;spn=CN105409116B&amp;sx=showpatent_cn&amp;sv=7eb359ef4c9ccc13868bbc4a6878b4b2","CN105409116B")</f>
        <v>CN105409116B</v>
      </c>
      <c r="B1213" s="9" t="s">
        <v>6169</v>
      </c>
      <c r="C1213" s="9" t="s">
        <v>6170</v>
      </c>
      <c r="D1213" s="9" t="s">
        <v>301</v>
      </c>
      <c r="E1213" s="9" t="s">
        <v>301</v>
      </c>
      <c r="F1213" s="9" t="s">
        <v>6171</v>
      </c>
      <c r="G1213" s="9" t="s">
        <v>6172</v>
      </c>
      <c r="H1213" s="9" t="s">
        <v>972</v>
      </c>
      <c r="I1213" s="9" t="s">
        <v>6173</v>
      </c>
      <c r="J1213" s="9" t="s">
        <v>3003</v>
      </c>
      <c r="K1213" s="9" t="s">
        <v>1993</v>
      </c>
      <c r="L1213" s="9" t="s">
        <v>6011</v>
      </c>
      <c r="M1213" s="9">
        <v>15</v>
      </c>
      <c r="N1213" s="9">
        <v>16</v>
      </c>
      <c r="O1213" s="9" t="s">
        <v>57</v>
      </c>
      <c r="P1213" s="9" t="s">
        <v>58</v>
      </c>
      <c r="Q1213" s="9">
        <v>3</v>
      </c>
      <c r="R1213" s="9">
        <v>1</v>
      </c>
      <c r="S1213" s="9">
        <v>2</v>
      </c>
      <c r="T1213" s="9">
        <v>3</v>
      </c>
      <c r="U1213" s="9">
        <v>0</v>
      </c>
      <c r="V1213" s="9" t="s">
        <v>114</v>
      </c>
      <c r="W1213" s="9">
        <v>0</v>
      </c>
      <c r="X1213" s="9">
        <v>0</v>
      </c>
      <c r="Y1213" s="9">
        <v>0</v>
      </c>
      <c r="Z1213" s="9">
        <v>0</v>
      </c>
      <c r="AA1213" s="9">
        <v>0</v>
      </c>
      <c r="AB1213" s="9">
        <v>0</v>
      </c>
      <c r="AC1213" s="9">
        <v>14</v>
      </c>
      <c r="AD1213" s="9" t="s">
        <v>0</v>
      </c>
      <c r="AE1213" s="9" t="s">
        <v>60</v>
      </c>
    </row>
    <row r="1214" spans="1:31" ht="38.25" x14ac:dyDescent="0.2">
      <c r="A1214" s="6" t="str">
        <f>HYPERLINK("http://www.patentics.cn/invokexml.do?sx=showpatent_cn&amp;sf=ShowPatent&amp;spn=CN101834854&amp;sx=showpatent_cn&amp;sv=136659e073c20e4c47c25d6b084c6bc9","CN101834854")</f>
        <v>CN101834854</v>
      </c>
      <c r="B1214" s="7" t="s">
        <v>6174</v>
      </c>
      <c r="C1214" s="7" t="s">
        <v>6175</v>
      </c>
      <c r="D1214" s="7" t="s">
        <v>4056</v>
      </c>
      <c r="E1214" s="7" t="s">
        <v>4056</v>
      </c>
      <c r="F1214" s="7" t="s">
        <v>6176</v>
      </c>
      <c r="G1214" s="7" t="s">
        <v>6177</v>
      </c>
      <c r="H1214" s="7" t="s">
        <v>6178</v>
      </c>
      <c r="I1214" s="7" t="s">
        <v>6178</v>
      </c>
      <c r="J1214" s="7" t="s">
        <v>3520</v>
      </c>
      <c r="K1214" s="7" t="s">
        <v>68</v>
      </c>
      <c r="L1214" s="7" t="s">
        <v>2336</v>
      </c>
      <c r="M1214" s="7">
        <v>2</v>
      </c>
      <c r="N1214" s="7">
        <v>20</v>
      </c>
      <c r="O1214" s="7" t="s">
        <v>42</v>
      </c>
      <c r="P1214" s="7" t="s">
        <v>43</v>
      </c>
      <c r="Q1214" s="7">
        <v>4</v>
      </c>
      <c r="R1214" s="7">
        <v>0</v>
      </c>
      <c r="S1214" s="7">
        <v>4</v>
      </c>
      <c r="T1214" s="7">
        <v>4</v>
      </c>
      <c r="U1214" s="7">
        <v>1</v>
      </c>
      <c r="V1214" s="7" t="s">
        <v>1591</v>
      </c>
      <c r="W1214" s="7">
        <v>0</v>
      </c>
      <c r="X1214" s="7">
        <v>1</v>
      </c>
      <c r="Y1214" s="7">
        <v>1</v>
      </c>
      <c r="Z1214" s="7">
        <v>1</v>
      </c>
      <c r="AA1214" s="7">
        <v>1</v>
      </c>
      <c r="AB1214" s="7">
        <v>1</v>
      </c>
      <c r="AC1214" s="7" t="s">
        <v>0</v>
      </c>
      <c r="AD1214" s="7">
        <v>1</v>
      </c>
      <c r="AE1214" s="7" t="s">
        <v>532</v>
      </c>
    </row>
    <row r="1215" spans="1:31" ht="25.5" x14ac:dyDescent="0.2">
      <c r="A1215" s="8" t="str">
        <f>HYPERLINK("http://www.patentics.cn/invokexml.do?sx=showpatent_cn&amp;sf=ShowPatent&amp;spn=CN104081746B&amp;sx=showpatent_cn&amp;sv=a2742644854bbeac667df209a7fb2b5e","CN104081746B")</f>
        <v>CN104081746B</v>
      </c>
      <c r="B1215" s="9" t="s">
        <v>6179</v>
      </c>
      <c r="C1215" s="9" t="s">
        <v>6180</v>
      </c>
      <c r="D1215" s="9" t="s">
        <v>301</v>
      </c>
      <c r="E1215" s="9" t="s">
        <v>301</v>
      </c>
      <c r="F1215" s="9" t="s">
        <v>6181</v>
      </c>
      <c r="G1215" s="9" t="s">
        <v>6182</v>
      </c>
      <c r="H1215" s="9" t="s">
        <v>3402</v>
      </c>
      <c r="I1215" s="9" t="s">
        <v>6183</v>
      </c>
      <c r="J1215" s="9" t="s">
        <v>2291</v>
      </c>
      <c r="K1215" s="9" t="s">
        <v>68</v>
      </c>
      <c r="L1215" s="9" t="s">
        <v>2336</v>
      </c>
      <c r="M1215" s="9">
        <v>7</v>
      </c>
      <c r="N1215" s="9">
        <v>20</v>
      </c>
      <c r="O1215" s="9" t="s">
        <v>57</v>
      </c>
      <c r="P1215" s="9" t="s">
        <v>58</v>
      </c>
      <c r="Q1215" s="9">
        <v>4</v>
      </c>
      <c r="R1215" s="9">
        <v>0</v>
      </c>
      <c r="S1215" s="9">
        <v>4</v>
      </c>
      <c r="T1215" s="9">
        <v>4</v>
      </c>
      <c r="U1215" s="9">
        <v>0</v>
      </c>
      <c r="V1215" s="9" t="s">
        <v>114</v>
      </c>
      <c r="W1215" s="9">
        <v>0</v>
      </c>
      <c r="X1215" s="9">
        <v>0</v>
      </c>
      <c r="Y1215" s="9">
        <v>0</v>
      </c>
      <c r="Z1215" s="9">
        <v>0</v>
      </c>
      <c r="AA1215" s="9">
        <v>0</v>
      </c>
      <c r="AB1215" s="9">
        <v>0</v>
      </c>
      <c r="AC1215" s="9">
        <v>14</v>
      </c>
      <c r="AD1215" s="9" t="s">
        <v>0</v>
      </c>
      <c r="AE1215" s="9" t="s">
        <v>60</v>
      </c>
    </row>
    <row r="1216" spans="1:31" ht="51" x14ac:dyDescent="0.2">
      <c r="A1216" s="6" t="str">
        <f>HYPERLINK("http://www.patentics.cn/invokexml.do?sx=showpatent_cn&amp;sf=ShowPatent&amp;spn=CN101827053&amp;sx=showpatent_cn&amp;sv=7bcb7be63161567650eee28a05a0f4b4","CN101827053")</f>
        <v>CN101827053</v>
      </c>
      <c r="B1216" s="7" t="s">
        <v>6184</v>
      </c>
      <c r="C1216" s="7" t="s">
        <v>6185</v>
      </c>
      <c r="D1216" s="7" t="s">
        <v>1383</v>
      </c>
      <c r="E1216" s="7" t="s">
        <v>1383</v>
      </c>
      <c r="F1216" s="7" t="s">
        <v>6186</v>
      </c>
      <c r="G1216" s="7" t="s">
        <v>6187</v>
      </c>
      <c r="H1216" s="7" t="s">
        <v>6188</v>
      </c>
      <c r="I1216" s="7" t="s">
        <v>1709</v>
      </c>
      <c r="J1216" s="7" t="s">
        <v>3899</v>
      </c>
      <c r="K1216" s="7" t="s">
        <v>68</v>
      </c>
      <c r="L1216" s="7" t="s">
        <v>5441</v>
      </c>
      <c r="M1216" s="7">
        <v>7</v>
      </c>
      <c r="N1216" s="7">
        <v>23</v>
      </c>
      <c r="O1216" s="7" t="s">
        <v>42</v>
      </c>
      <c r="P1216" s="7" t="s">
        <v>43</v>
      </c>
      <c r="Q1216" s="7">
        <v>1</v>
      </c>
      <c r="R1216" s="7">
        <v>0</v>
      </c>
      <c r="S1216" s="7">
        <v>1</v>
      </c>
      <c r="T1216" s="7">
        <v>1</v>
      </c>
      <c r="U1216" s="7">
        <v>19</v>
      </c>
      <c r="V1216" s="7" t="s">
        <v>6189</v>
      </c>
      <c r="W1216" s="7">
        <v>0</v>
      </c>
      <c r="X1216" s="7">
        <v>19</v>
      </c>
      <c r="Y1216" s="7">
        <v>7</v>
      </c>
      <c r="Z1216" s="7">
        <v>3</v>
      </c>
      <c r="AA1216" s="7">
        <v>1</v>
      </c>
      <c r="AB1216" s="7">
        <v>1</v>
      </c>
      <c r="AC1216" s="7" t="s">
        <v>0</v>
      </c>
      <c r="AD1216" s="7">
        <v>1</v>
      </c>
      <c r="AE1216" s="7" t="s">
        <v>60</v>
      </c>
    </row>
    <row r="1217" spans="1:31" ht="76.5" x14ac:dyDescent="0.2">
      <c r="A1217" s="8" t="str">
        <f>HYPERLINK("http://www.patentics.cn/invokexml.do?sx=showpatent_cn&amp;sf=ShowPatent&amp;spn=WO2014113902&amp;sx=showpatent_cn&amp;sv=c39b38e64748ec08ee84d6684ee3e2d5","WO2014113902")</f>
        <v>WO2014113902</v>
      </c>
      <c r="B1217" s="9" t="s">
        <v>6190</v>
      </c>
      <c r="C1217" s="9" t="s">
        <v>6191</v>
      </c>
      <c r="D1217" s="9" t="s">
        <v>117</v>
      </c>
      <c r="E1217" s="9" t="s">
        <v>49</v>
      </c>
      <c r="F1217" s="9" t="s">
        <v>6192</v>
      </c>
      <c r="G1217" s="9" t="s">
        <v>3352</v>
      </c>
      <c r="H1217" s="9" t="s">
        <v>0</v>
      </c>
      <c r="I1217" s="9" t="s">
        <v>1121</v>
      </c>
      <c r="J1217" s="9" t="s">
        <v>6193</v>
      </c>
      <c r="K1217" s="9" t="s">
        <v>55</v>
      </c>
      <c r="L1217" s="9" t="s">
        <v>272</v>
      </c>
      <c r="M1217" s="9">
        <v>53</v>
      </c>
      <c r="N1217" s="9">
        <v>16</v>
      </c>
      <c r="O1217" s="9" t="s">
        <v>850</v>
      </c>
      <c r="P1217" s="9" t="s">
        <v>1932</v>
      </c>
      <c r="Q1217" s="9">
        <v>4</v>
      </c>
      <c r="R1217" s="9">
        <v>1</v>
      </c>
      <c r="S1217" s="9">
        <v>3</v>
      </c>
      <c r="T1217" s="9">
        <v>4</v>
      </c>
      <c r="U1217" s="9">
        <v>0</v>
      </c>
      <c r="V1217" s="9" t="s">
        <v>114</v>
      </c>
      <c r="W1217" s="9">
        <v>0</v>
      </c>
      <c r="X1217" s="9">
        <v>0</v>
      </c>
      <c r="Y1217" s="9">
        <v>0</v>
      </c>
      <c r="Z1217" s="9">
        <v>0</v>
      </c>
      <c r="AA1217" s="9">
        <v>0</v>
      </c>
      <c r="AB1217" s="9">
        <v>0</v>
      </c>
      <c r="AC1217" s="9">
        <v>14</v>
      </c>
      <c r="AD1217" s="9" t="s">
        <v>0</v>
      </c>
      <c r="AE1217" s="9" t="s">
        <v>0</v>
      </c>
    </row>
    <row r="1218" spans="1:31" ht="63.75" x14ac:dyDescent="0.2">
      <c r="A1218" s="6" t="str">
        <f>HYPERLINK("http://www.patentics.cn/invokexml.do?sx=showpatent_cn&amp;sf=ShowPatent&amp;spn=CN101822052&amp;sx=showpatent_cn&amp;sv=62130d1f870de6be37f64bd482c9eebc","CN101822052")</f>
        <v>CN101822052</v>
      </c>
      <c r="B1218" s="7" t="s">
        <v>6194</v>
      </c>
      <c r="C1218" s="7" t="s">
        <v>6195</v>
      </c>
      <c r="D1218" s="7" t="s">
        <v>6196</v>
      </c>
      <c r="E1218" s="7" t="s">
        <v>6197</v>
      </c>
      <c r="F1218" s="7" t="s">
        <v>6198</v>
      </c>
      <c r="G1218" s="7" t="s">
        <v>6199</v>
      </c>
      <c r="H1218" s="7" t="s">
        <v>2056</v>
      </c>
      <c r="I1218" s="7" t="s">
        <v>6200</v>
      </c>
      <c r="J1218" s="7" t="s">
        <v>6201</v>
      </c>
      <c r="K1218" s="7" t="s">
        <v>714</v>
      </c>
      <c r="L1218" s="7" t="s">
        <v>1346</v>
      </c>
      <c r="M1218" s="7">
        <v>9</v>
      </c>
      <c r="N1218" s="7">
        <v>11</v>
      </c>
      <c r="O1218" s="7" t="s">
        <v>42</v>
      </c>
      <c r="P1218" s="7" t="s">
        <v>2681</v>
      </c>
      <c r="Q1218" s="7">
        <v>0</v>
      </c>
      <c r="R1218" s="7">
        <v>0</v>
      </c>
      <c r="S1218" s="7">
        <v>0</v>
      </c>
      <c r="T1218" s="7">
        <v>0</v>
      </c>
      <c r="U1218" s="7">
        <v>1</v>
      </c>
      <c r="V1218" s="7" t="s">
        <v>78</v>
      </c>
      <c r="W1218" s="7">
        <v>0</v>
      </c>
      <c r="X1218" s="7">
        <v>1</v>
      </c>
      <c r="Y1218" s="7">
        <v>1</v>
      </c>
      <c r="Z1218" s="7">
        <v>1</v>
      </c>
      <c r="AA1218" s="7">
        <v>8</v>
      </c>
      <c r="AB1218" s="7">
        <v>6</v>
      </c>
      <c r="AC1218" s="7" t="s">
        <v>0</v>
      </c>
      <c r="AD1218" s="7">
        <v>1</v>
      </c>
      <c r="AE1218" s="7" t="s">
        <v>532</v>
      </c>
    </row>
    <row r="1219" spans="1:31" ht="51" x14ac:dyDescent="0.2">
      <c r="A1219" s="8" t="str">
        <f>HYPERLINK("http://www.patentics.cn/invokexml.do?sx=showpatent_cn&amp;sf=ShowPatent&amp;spn=CN103140877&amp;sx=showpatent_cn&amp;sv=c254b7fa60536cc0804658e6c1ce00ab","CN103140877")</f>
        <v>CN103140877</v>
      </c>
      <c r="B1219" s="9" t="s">
        <v>3934</v>
      </c>
      <c r="C1219" s="9" t="s">
        <v>3935</v>
      </c>
      <c r="D1219" s="9" t="s">
        <v>301</v>
      </c>
      <c r="E1219" s="9" t="s">
        <v>301</v>
      </c>
      <c r="F1219" s="9" t="s">
        <v>3936</v>
      </c>
      <c r="G1219" s="9" t="s">
        <v>3937</v>
      </c>
      <c r="H1219" s="9" t="s">
        <v>3938</v>
      </c>
      <c r="I1219" s="9" t="s">
        <v>3939</v>
      </c>
      <c r="J1219" s="9" t="s">
        <v>3942</v>
      </c>
      <c r="K1219" s="9" t="s">
        <v>2163</v>
      </c>
      <c r="L1219" s="9" t="s">
        <v>3943</v>
      </c>
      <c r="M1219" s="9">
        <v>35</v>
      </c>
      <c r="N1219" s="9">
        <v>13</v>
      </c>
      <c r="O1219" s="9" t="s">
        <v>42</v>
      </c>
      <c r="P1219" s="9" t="s">
        <v>58</v>
      </c>
      <c r="Q1219" s="9">
        <v>5</v>
      </c>
      <c r="R1219" s="9">
        <v>2</v>
      </c>
      <c r="S1219" s="9">
        <v>3</v>
      </c>
      <c r="T1219" s="9">
        <v>4</v>
      </c>
      <c r="U1219" s="9">
        <v>0</v>
      </c>
      <c r="V1219" s="9" t="s">
        <v>114</v>
      </c>
      <c r="W1219" s="9">
        <v>0</v>
      </c>
      <c r="X1219" s="9">
        <v>0</v>
      </c>
      <c r="Y1219" s="9">
        <v>0</v>
      </c>
      <c r="Z1219" s="9">
        <v>0</v>
      </c>
      <c r="AA1219" s="9">
        <v>6</v>
      </c>
      <c r="AB1219" s="9">
        <v>6</v>
      </c>
      <c r="AC1219" s="9">
        <v>14</v>
      </c>
      <c r="AD1219" s="9" t="s">
        <v>0</v>
      </c>
      <c r="AE1219" s="9" t="s">
        <v>60</v>
      </c>
    </row>
    <row r="1220" spans="1:31" ht="25.5" x14ac:dyDescent="0.2">
      <c r="A1220" s="6" t="str">
        <f>HYPERLINK("http://www.patentics.cn/invokexml.do?sx=showpatent_cn&amp;sf=ShowPatent&amp;spn=CN101814916&amp;sx=showpatent_cn&amp;sv=6f6ffc60ddffaed1c818adb63fdf7413","CN101814916")</f>
        <v>CN101814916</v>
      </c>
      <c r="B1220" s="7" t="s">
        <v>6202</v>
      </c>
      <c r="C1220" s="7" t="s">
        <v>6203</v>
      </c>
      <c r="D1220" s="7" t="s">
        <v>1383</v>
      </c>
      <c r="E1220" s="7" t="s">
        <v>1383</v>
      </c>
      <c r="F1220" s="7" t="s">
        <v>6204</v>
      </c>
      <c r="G1220" s="7" t="s">
        <v>6205</v>
      </c>
      <c r="H1220" s="7" t="s">
        <v>6206</v>
      </c>
      <c r="I1220" s="7" t="s">
        <v>6206</v>
      </c>
      <c r="J1220" s="7" t="s">
        <v>6005</v>
      </c>
      <c r="K1220" s="7" t="s">
        <v>2207</v>
      </c>
      <c r="L1220" s="7" t="s">
        <v>2208</v>
      </c>
      <c r="M1220" s="7">
        <v>7</v>
      </c>
      <c r="N1220" s="7">
        <v>20</v>
      </c>
      <c r="O1220" s="7" t="s">
        <v>42</v>
      </c>
      <c r="P1220" s="7" t="s">
        <v>43</v>
      </c>
      <c r="Q1220" s="7">
        <v>0</v>
      </c>
      <c r="R1220" s="7">
        <v>0</v>
      </c>
      <c r="S1220" s="7">
        <v>0</v>
      </c>
      <c r="T1220" s="7">
        <v>0</v>
      </c>
      <c r="U1220" s="7">
        <v>5</v>
      </c>
      <c r="V1220" s="7" t="s">
        <v>6207</v>
      </c>
      <c r="W1220" s="7">
        <v>0</v>
      </c>
      <c r="X1220" s="7">
        <v>5</v>
      </c>
      <c r="Y1220" s="7">
        <v>3</v>
      </c>
      <c r="Z1220" s="7">
        <v>1</v>
      </c>
      <c r="AA1220" s="7">
        <v>1</v>
      </c>
      <c r="AB1220" s="7">
        <v>1</v>
      </c>
      <c r="AC1220" s="7" t="s">
        <v>0</v>
      </c>
      <c r="AD1220" s="7">
        <v>1</v>
      </c>
      <c r="AE1220" s="7" t="s">
        <v>60</v>
      </c>
    </row>
    <row r="1221" spans="1:31" ht="51" x14ac:dyDescent="0.2">
      <c r="A1221" s="8" t="str">
        <f>HYPERLINK("http://www.patentics.cn/invokexml.do?sx=showpatent_cn&amp;sf=ShowPatent&amp;spn=CN103430448&amp;sx=showpatent_cn&amp;sv=7f84ce8477c29226339be3924437f3da","CN103430448")</f>
        <v>CN103430448</v>
      </c>
      <c r="B1221" s="9" t="s">
        <v>6208</v>
      </c>
      <c r="C1221" s="9" t="s">
        <v>6209</v>
      </c>
      <c r="D1221" s="9" t="s">
        <v>301</v>
      </c>
      <c r="E1221" s="9" t="s">
        <v>301</v>
      </c>
      <c r="F1221" s="9" t="s">
        <v>6210</v>
      </c>
      <c r="G1221" s="9" t="s">
        <v>6211</v>
      </c>
      <c r="H1221" s="9" t="s">
        <v>1985</v>
      </c>
      <c r="I1221" s="9" t="s">
        <v>5554</v>
      </c>
      <c r="J1221" s="9" t="s">
        <v>3168</v>
      </c>
      <c r="K1221" s="9" t="s">
        <v>1993</v>
      </c>
      <c r="L1221" s="9" t="s">
        <v>6212</v>
      </c>
      <c r="M1221" s="9">
        <v>24</v>
      </c>
      <c r="N1221" s="9">
        <v>16</v>
      </c>
      <c r="O1221" s="9" t="s">
        <v>42</v>
      </c>
      <c r="P1221" s="9" t="s">
        <v>58</v>
      </c>
      <c r="Q1221" s="9">
        <v>3</v>
      </c>
      <c r="R1221" s="9">
        <v>0</v>
      </c>
      <c r="S1221" s="9">
        <v>3</v>
      </c>
      <c r="T1221" s="9">
        <v>3</v>
      </c>
      <c r="U1221" s="9">
        <v>0</v>
      </c>
      <c r="V1221" s="9" t="s">
        <v>114</v>
      </c>
      <c r="W1221" s="9">
        <v>0</v>
      </c>
      <c r="X1221" s="9">
        <v>0</v>
      </c>
      <c r="Y1221" s="9">
        <v>0</v>
      </c>
      <c r="Z1221" s="9">
        <v>0</v>
      </c>
      <c r="AA1221" s="9">
        <v>8</v>
      </c>
      <c r="AB1221" s="9">
        <v>6</v>
      </c>
      <c r="AC1221" s="9">
        <v>14</v>
      </c>
      <c r="AD1221" s="9" t="s">
        <v>0</v>
      </c>
      <c r="AE1221" s="9" t="s">
        <v>60</v>
      </c>
    </row>
    <row r="1222" spans="1:31" ht="38.25" x14ac:dyDescent="0.2">
      <c r="A1222" s="6" t="str">
        <f>HYPERLINK("http://www.patentics.cn/invokexml.do?sx=showpatent_cn&amp;sf=ShowPatent&amp;spn=CN101807745&amp;sx=showpatent_cn&amp;sv=5c0264c826c90aa9517449ec7fd7be87","CN101807745")</f>
        <v>CN101807745</v>
      </c>
      <c r="B1222" s="7" t="s">
        <v>6213</v>
      </c>
      <c r="C1222" s="7" t="s">
        <v>6214</v>
      </c>
      <c r="D1222" s="7" t="s">
        <v>1383</v>
      </c>
      <c r="E1222" s="7" t="s">
        <v>1383</v>
      </c>
      <c r="F1222" s="7" t="s">
        <v>6215</v>
      </c>
      <c r="G1222" s="7" t="s">
        <v>6216</v>
      </c>
      <c r="H1222" s="7" t="s">
        <v>6217</v>
      </c>
      <c r="I1222" s="7" t="s">
        <v>6217</v>
      </c>
      <c r="J1222" s="7" t="s">
        <v>6218</v>
      </c>
      <c r="K1222" s="7" t="s">
        <v>1037</v>
      </c>
      <c r="L1222" s="7" t="s">
        <v>6219</v>
      </c>
      <c r="M1222" s="7">
        <v>3</v>
      </c>
      <c r="N1222" s="7">
        <v>16</v>
      </c>
      <c r="O1222" s="7" t="s">
        <v>42</v>
      </c>
      <c r="P1222" s="7" t="s">
        <v>43</v>
      </c>
      <c r="Q1222" s="7">
        <v>2</v>
      </c>
      <c r="R1222" s="7">
        <v>0</v>
      </c>
      <c r="S1222" s="7">
        <v>2</v>
      </c>
      <c r="T1222" s="7">
        <v>2</v>
      </c>
      <c r="U1222" s="7">
        <v>2</v>
      </c>
      <c r="V1222" s="7" t="s">
        <v>6220</v>
      </c>
      <c r="W1222" s="7">
        <v>1</v>
      </c>
      <c r="X1222" s="7">
        <v>1</v>
      </c>
      <c r="Y1222" s="7">
        <v>2</v>
      </c>
      <c r="Z1222" s="7">
        <v>2</v>
      </c>
      <c r="AA1222" s="7">
        <v>1</v>
      </c>
      <c r="AB1222" s="7">
        <v>1</v>
      </c>
      <c r="AC1222" s="7" t="s">
        <v>0</v>
      </c>
      <c r="AD1222" s="7">
        <v>1</v>
      </c>
      <c r="AE1222" s="7" t="s">
        <v>532</v>
      </c>
    </row>
    <row r="1223" spans="1:31" ht="51" x14ac:dyDescent="0.2">
      <c r="A1223" s="8" t="str">
        <f>HYPERLINK("http://www.patentics.cn/invokexml.do?sx=showpatent_cn&amp;sf=ShowPatent&amp;spn=US9673872&amp;sx=showpatent_cn&amp;sv=b6b8534bb1989da12e2f164851147c6c","US9673872")</f>
        <v>US9673872</v>
      </c>
      <c r="B1223" s="9" t="s">
        <v>6221</v>
      </c>
      <c r="C1223" s="9" t="s">
        <v>6222</v>
      </c>
      <c r="D1223" s="9" t="s">
        <v>48</v>
      </c>
      <c r="E1223" s="9" t="s">
        <v>49</v>
      </c>
      <c r="F1223" s="9" t="s">
        <v>6223</v>
      </c>
      <c r="G1223" s="9" t="s">
        <v>6224</v>
      </c>
      <c r="H1223" s="9" t="s">
        <v>6225</v>
      </c>
      <c r="I1223" s="9" t="s">
        <v>6226</v>
      </c>
      <c r="J1223" s="9" t="s">
        <v>3404</v>
      </c>
      <c r="K1223" s="9" t="s">
        <v>540</v>
      </c>
      <c r="L1223" s="9" t="s">
        <v>563</v>
      </c>
      <c r="M1223" s="9">
        <v>19</v>
      </c>
      <c r="N1223" s="9">
        <v>16</v>
      </c>
      <c r="O1223" s="9" t="s">
        <v>57</v>
      </c>
      <c r="P1223" s="9" t="s">
        <v>58</v>
      </c>
      <c r="Q1223" s="9">
        <v>24</v>
      </c>
      <c r="R1223" s="9">
        <v>3</v>
      </c>
      <c r="S1223" s="9">
        <v>21</v>
      </c>
      <c r="T1223" s="9">
        <v>18</v>
      </c>
      <c r="U1223" s="9">
        <v>0</v>
      </c>
      <c r="V1223" s="9" t="s">
        <v>114</v>
      </c>
      <c r="W1223" s="9">
        <v>0</v>
      </c>
      <c r="X1223" s="9">
        <v>0</v>
      </c>
      <c r="Y1223" s="9">
        <v>0</v>
      </c>
      <c r="Z1223" s="9">
        <v>0</v>
      </c>
      <c r="AA1223" s="9">
        <v>8</v>
      </c>
      <c r="AB1223" s="9">
        <v>7</v>
      </c>
      <c r="AC1223" s="9">
        <v>14</v>
      </c>
      <c r="AD1223" s="9" t="s">
        <v>0</v>
      </c>
      <c r="AE1223" s="9" t="s">
        <v>60</v>
      </c>
    </row>
    <row r="1224" spans="1:31" ht="51" x14ac:dyDescent="0.2">
      <c r="A1224" s="6" t="str">
        <f>HYPERLINK("http://www.patentics.cn/invokexml.do?sx=showpatent_cn&amp;sf=ShowPatent&amp;spn=CN101808385&amp;sx=showpatent_cn&amp;sv=8f26db12ce039189d9110c06d0a9f96a","CN101808385")</f>
        <v>CN101808385</v>
      </c>
      <c r="B1224" s="7" t="s">
        <v>6227</v>
      </c>
      <c r="C1224" s="7" t="s">
        <v>6228</v>
      </c>
      <c r="D1224" s="7" t="s">
        <v>1097</v>
      </c>
      <c r="E1224" s="7" t="s">
        <v>1097</v>
      </c>
      <c r="F1224" s="7" t="s">
        <v>6229</v>
      </c>
      <c r="G1224" s="7" t="s">
        <v>6230</v>
      </c>
      <c r="H1224" s="7" t="s">
        <v>4450</v>
      </c>
      <c r="I1224" s="7" t="s">
        <v>4450</v>
      </c>
      <c r="J1224" s="7" t="s">
        <v>6218</v>
      </c>
      <c r="K1224" s="7" t="s">
        <v>55</v>
      </c>
      <c r="L1224" s="7" t="s">
        <v>6231</v>
      </c>
      <c r="M1224" s="7">
        <v>4</v>
      </c>
      <c r="N1224" s="7">
        <v>32</v>
      </c>
      <c r="O1224" s="7" t="s">
        <v>42</v>
      </c>
      <c r="P1224" s="7" t="s">
        <v>43</v>
      </c>
      <c r="Q1224" s="7">
        <v>6</v>
      </c>
      <c r="R1224" s="7">
        <v>0</v>
      </c>
      <c r="S1224" s="7">
        <v>6</v>
      </c>
      <c r="T1224" s="7">
        <v>6</v>
      </c>
      <c r="U1224" s="7">
        <v>14</v>
      </c>
      <c r="V1224" s="7" t="s">
        <v>6232</v>
      </c>
      <c r="W1224" s="7">
        <v>0</v>
      </c>
      <c r="X1224" s="7">
        <v>14</v>
      </c>
      <c r="Y1224" s="7">
        <v>7</v>
      </c>
      <c r="Z1224" s="7">
        <v>2</v>
      </c>
      <c r="AA1224" s="7">
        <v>1</v>
      </c>
      <c r="AB1224" s="7">
        <v>1</v>
      </c>
      <c r="AC1224" s="7" t="s">
        <v>0</v>
      </c>
      <c r="AD1224" s="7">
        <v>1</v>
      </c>
      <c r="AE1224" s="7" t="s">
        <v>532</v>
      </c>
    </row>
    <row r="1225" spans="1:31" ht="38.25" x14ac:dyDescent="0.2">
      <c r="A1225" s="8" t="str">
        <f>HYPERLINK("http://www.patentics.cn/invokexml.do?sx=showpatent_cn&amp;sf=ShowPatent&amp;spn=CN103069737B&amp;sx=showpatent_cn&amp;sv=5a9febf6b627136188898dfd91a8dc2f","CN103069737B")</f>
        <v>CN103069737B</v>
      </c>
      <c r="B1225" s="9" t="s">
        <v>6233</v>
      </c>
      <c r="C1225" s="9" t="s">
        <v>6234</v>
      </c>
      <c r="D1225" s="9" t="s">
        <v>301</v>
      </c>
      <c r="E1225" s="9" t="s">
        <v>301</v>
      </c>
      <c r="F1225" s="9" t="s">
        <v>6235</v>
      </c>
      <c r="G1225" s="9" t="s">
        <v>6236</v>
      </c>
      <c r="H1225" s="9" t="s">
        <v>6005</v>
      </c>
      <c r="I1225" s="9" t="s">
        <v>6237</v>
      </c>
      <c r="J1225" s="9" t="s">
        <v>6238</v>
      </c>
      <c r="K1225" s="9" t="s">
        <v>68</v>
      </c>
      <c r="L1225" s="9" t="s">
        <v>6239</v>
      </c>
      <c r="M1225" s="9">
        <v>71</v>
      </c>
      <c r="N1225" s="9">
        <v>15</v>
      </c>
      <c r="O1225" s="9" t="s">
        <v>57</v>
      </c>
      <c r="P1225" s="9" t="s">
        <v>58</v>
      </c>
      <c r="Q1225" s="9">
        <v>2</v>
      </c>
      <c r="R1225" s="9">
        <v>0</v>
      </c>
      <c r="S1225" s="9">
        <v>2</v>
      </c>
      <c r="T1225" s="9">
        <v>2</v>
      </c>
      <c r="U1225" s="9">
        <v>0</v>
      </c>
      <c r="V1225" s="9" t="s">
        <v>114</v>
      </c>
      <c r="W1225" s="9">
        <v>0</v>
      </c>
      <c r="X1225" s="9">
        <v>0</v>
      </c>
      <c r="Y1225" s="9">
        <v>0</v>
      </c>
      <c r="Z1225" s="9">
        <v>0</v>
      </c>
      <c r="AA1225" s="9">
        <v>0</v>
      </c>
      <c r="AB1225" s="9">
        <v>0</v>
      </c>
      <c r="AC1225" s="9">
        <v>14</v>
      </c>
      <c r="AD1225" s="9" t="s">
        <v>0</v>
      </c>
      <c r="AE1225" s="9" t="s">
        <v>60</v>
      </c>
    </row>
    <row r="1226" spans="1:31" ht="38.25" x14ac:dyDescent="0.2">
      <c r="A1226" s="6" t="str">
        <f>HYPERLINK("http://www.patentics.cn/invokexml.do?sx=showpatent_cn&amp;sf=ShowPatent&amp;spn=CN101801091&amp;sx=showpatent_cn&amp;sv=9558e1f6ef4efe43af65f17ef5f0ba7d","CN101801091")</f>
        <v>CN101801091</v>
      </c>
      <c r="B1226" s="7" t="s">
        <v>6240</v>
      </c>
      <c r="C1226" s="7" t="s">
        <v>6241</v>
      </c>
      <c r="D1226" s="7" t="s">
        <v>1097</v>
      </c>
      <c r="E1226" s="7" t="s">
        <v>1097</v>
      </c>
      <c r="F1226" s="7" t="s">
        <v>6242</v>
      </c>
      <c r="G1226" s="7" t="s">
        <v>4126</v>
      </c>
      <c r="H1226" s="7" t="s">
        <v>0</v>
      </c>
      <c r="I1226" s="7" t="s">
        <v>3635</v>
      </c>
      <c r="J1226" s="7" t="s">
        <v>3540</v>
      </c>
      <c r="K1226" s="7" t="s">
        <v>55</v>
      </c>
      <c r="L1226" s="7" t="s">
        <v>206</v>
      </c>
      <c r="M1226" s="7">
        <v>10</v>
      </c>
      <c r="N1226" s="7">
        <v>13</v>
      </c>
      <c r="O1226" s="7" t="s">
        <v>42</v>
      </c>
      <c r="P1226" s="7" t="s">
        <v>43</v>
      </c>
      <c r="Q1226" s="7">
        <v>0</v>
      </c>
      <c r="R1226" s="7">
        <v>0</v>
      </c>
      <c r="S1226" s="7">
        <v>0</v>
      </c>
      <c r="T1226" s="7">
        <v>0</v>
      </c>
      <c r="U1226" s="7">
        <v>26</v>
      </c>
      <c r="V1226" s="7" t="s">
        <v>6243</v>
      </c>
      <c r="W1226" s="7">
        <v>0</v>
      </c>
      <c r="X1226" s="7">
        <v>26</v>
      </c>
      <c r="Y1226" s="7">
        <v>10</v>
      </c>
      <c r="Z1226" s="7">
        <v>4</v>
      </c>
      <c r="AA1226" s="7">
        <v>0</v>
      </c>
      <c r="AB1226" s="7">
        <v>0</v>
      </c>
      <c r="AC1226" s="7" t="s">
        <v>0</v>
      </c>
      <c r="AD1226" s="7">
        <v>1</v>
      </c>
      <c r="AE1226" s="7" t="s">
        <v>60</v>
      </c>
    </row>
    <row r="1227" spans="1:31" ht="51" x14ac:dyDescent="0.2">
      <c r="A1227" s="8" t="str">
        <f>HYPERLINK("http://www.patentics.cn/invokexml.do?sx=showpatent_cn&amp;sf=ShowPatent&amp;spn=CN103650607B&amp;sx=showpatent_cn&amp;sv=ca7395f8fb169a0038027fbf1cf31b2b","CN103650607B")</f>
        <v>CN103650607B</v>
      </c>
      <c r="B1227" s="9" t="s">
        <v>6244</v>
      </c>
      <c r="C1227" s="9" t="s">
        <v>6245</v>
      </c>
      <c r="D1227" s="9" t="s">
        <v>301</v>
      </c>
      <c r="E1227" s="9" t="s">
        <v>301</v>
      </c>
      <c r="F1227" s="9" t="s">
        <v>6246</v>
      </c>
      <c r="G1227" s="9" t="s">
        <v>6247</v>
      </c>
      <c r="H1227" s="9" t="s">
        <v>451</v>
      </c>
      <c r="I1227" s="9" t="s">
        <v>2887</v>
      </c>
      <c r="J1227" s="9" t="s">
        <v>6248</v>
      </c>
      <c r="K1227" s="9" t="s">
        <v>55</v>
      </c>
      <c r="L1227" s="9" t="s">
        <v>197</v>
      </c>
      <c r="M1227" s="9">
        <v>33</v>
      </c>
      <c r="N1227" s="9">
        <v>8</v>
      </c>
      <c r="O1227" s="9" t="s">
        <v>57</v>
      </c>
      <c r="P1227" s="9" t="s">
        <v>58</v>
      </c>
      <c r="Q1227" s="9">
        <v>4</v>
      </c>
      <c r="R1227" s="9">
        <v>0</v>
      </c>
      <c r="S1227" s="9">
        <v>4</v>
      </c>
      <c r="T1227" s="9">
        <v>4</v>
      </c>
      <c r="U1227" s="9">
        <v>0</v>
      </c>
      <c r="V1227" s="9" t="s">
        <v>114</v>
      </c>
      <c r="W1227" s="9">
        <v>0</v>
      </c>
      <c r="X1227" s="9">
        <v>0</v>
      </c>
      <c r="Y1227" s="9">
        <v>0</v>
      </c>
      <c r="Z1227" s="9">
        <v>0</v>
      </c>
      <c r="AA1227" s="9">
        <v>0</v>
      </c>
      <c r="AB1227" s="9">
        <v>0</v>
      </c>
      <c r="AC1227" s="9">
        <v>14</v>
      </c>
      <c r="AD1227" s="9" t="s">
        <v>0</v>
      </c>
      <c r="AE1227" s="9" t="s">
        <v>60</v>
      </c>
    </row>
    <row r="1228" spans="1:31" ht="25.5" x14ac:dyDescent="0.2">
      <c r="A1228" s="6" t="str">
        <f>HYPERLINK("http://www.patentics.cn/invokexml.do?sx=showpatent_cn&amp;sf=ShowPatent&amp;spn=CN101801000&amp;sx=showpatent_cn&amp;sv=6957b1ccbd15a2d99b5f84c10aa641fe","CN101801000")</f>
        <v>CN101801000</v>
      </c>
      <c r="B1228" s="7" t="s">
        <v>6249</v>
      </c>
      <c r="C1228" s="7" t="s">
        <v>6250</v>
      </c>
      <c r="D1228" s="7" t="s">
        <v>3285</v>
      </c>
      <c r="E1228" s="7" t="s">
        <v>3285</v>
      </c>
      <c r="F1228" s="7" t="s">
        <v>6251</v>
      </c>
      <c r="G1228" s="7" t="s">
        <v>6252</v>
      </c>
      <c r="H1228" s="7" t="s">
        <v>3914</v>
      </c>
      <c r="I1228" s="7" t="s">
        <v>3914</v>
      </c>
      <c r="J1228" s="7" t="s">
        <v>3540</v>
      </c>
      <c r="K1228" s="7" t="s">
        <v>55</v>
      </c>
      <c r="L1228" s="7" t="s">
        <v>5194</v>
      </c>
      <c r="M1228" s="7">
        <v>8</v>
      </c>
      <c r="N1228" s="7">
        <v>58</v>
      </c>
      <c r="O1228" s="7" t="s">
        <v>42</v>
      </c>
      <c r="P1228" s="7" t="s">
        <v>43</v>
      </c>
      <c r="Q1228" s="7">
        <v>0</v>
      </c>
      <c r="R1228" s="7">
        <v>0</v>
      </c>
      <c r="S1228" s="7">
        <v>0</v>
      </c>
      <c r="T1228" s="7">
        <v>0</v>
      </c>
      <c r="U1228" s="7">
        <v>13</v>
      </c>
      <c r="V1228" s="7" t="s">
        <v>6253</v>
      </c>
      <c r="W1228" s="7">
        <v>0</v>
      </c>
      <c r="X1228" s="7">
        <v>13</v>
      </c>
      <c r="Y1228" s="7">
        <v>6</v>
      </c>
      <c r="Z1228" s="7">
        <v>3</v>
      </c>
      <c r="AA1228" s="7">
        <v>1</v>
      </c>
      <c r="AB1228" s="7">
        <v>1</v>
      </c>
      <c r="AC1228" s="7" t="s">
        <v>0</v>
      </c>
      <c r="AD1228" s="7">
        <v>1</v>
      </c>
      <c r="AE1228" s="7" t="s">
        <v>60</v>
      </c>
    </row>
    <row r="1229" spans="1:31" ht="89.25" x14ac:dyDescent="0.2">
      <c r="A1229" s="8" t="str">
        <f>HYPERLINK("http://www.patentics.cn/invokexml.do?sx=showpatent_cn&amp;sf=ShowPatent&amp;spn=US9578515&amp;sx=showpatent_cn&amp;sv=32de7974f7635f78ef15770b4c624e42","US9578515")</f>
        <v>US9578515</v>
      </c>
      <c r="B1229" s="9" t="s">
        <v>6152</v>
      </c>
      <c r="C1229" s="9" t="s">
        <v>6153</v>
      </c>
      <c r="D1229" s="9" t="s">
        <v>48</v>
      </c>
      <c r="E1229" s="9" t="s">
        <v>49</v>
      </c>
      <c r="F1229" s="9" t="s">
        <v>6154</v>
      </c>
      <c r="G1229" s="9" t="s">
        <v>6155</v>
      </c>
      <c r="H1229" s="9" t="s">
        <v>5748</v>
      </c>
      <c r="I1229" s="9" t="s">
        <v>6156</v>
      </c>
      <c r="J1229" s="9" t="s">
        <v>1411</v>
      </c>
      <c r="K1229" s="9" t="s">
        <v>55</v>
      </c>
      <c r="L1229" s="9" t="s">
        <v>56</v>
      </c>
      <c r="M1229" s="9">
        <v>21</v>
      </c>
      <c r="N1229" s="9">
        <v>19</v>
      </c>
      <c r="O1229" s="9" t="s">
        <v>57</v>
      </c>
      <c r="P1229" s="9" t="s">
        <v>58</v>
      </c>
      <c r="Q1229" s="9">
        <v>35</v>
      </c>
      <c r="R1229" s="9">
        <v>2</v>
      </c>
      <c r="S1229" s="9">
        <v>33</v>
      </c>
      <c r="T1229" s="9">
        <v>25</v>
      </c>
      <c r="U1229" s="9">
        <v>0</v>
      </c>
      <c r="V1229" s="9" t="s">
        <v>114</v>
      </c>
      <c r="W1229" s="9">
        <v>0</v>
      </c>
      <c r="X1229" s="9">
        <v>0</v>
      </c>
      <c r="Y1229" s="9">
        <v>0</v>
      </c>
      <c r="Z1229" s="9">
        <v>0</v>
      </c>
      <c r="AA1229" s="9">
        <v>8</v>
      </c>
      <c r="AB1229" s="9">
        <v>6</v>
      </c>
      <c r="AC1229" s="9">
        <v>14</v>
      </c>
      <c r="AD1229" s="9" t="s">
        <v>0</v>
      </c>
      <c r="AE1229" s="9" t="s">
        <v>60</v>
      </c>
    </row>
    <row r="1230" spans="1:31" ht="63.75" x14ac:dyDescent="0.2">
      <c r="A1230" s="6" t="str">
        <f>HYPERLINK("http://www.patentics.cn/invokexml.do?sx=showpatent_cn&amp;sf=ShowPatent&amp;spn=CN101794579&amp;sx=showpatent_cn&amp;sv=027a3321c1ada43861162f3634efbc2b","CN101794579")</f>
        <v>CN101794579</v>
      </c>
      <c r="B1230" s="7" t="s">
        <v>6254</v>
      </c>
      <c r="C1230" s="7" t="s">
        <v>6255</v>
      </c>
      <c r="D1230" s="7" t="s">
        <v>6256</v>
      </c>
      <c r="E1230" s="7" t="s">
        <v>6257</v>
      </c>
      <c r="F1230" s="7" t="s">
        <v>6258</v>
      </c>
      <c r="G1230" s="7" t="s">
        <v>6259</v>
      </c>
      <c r="H1230" s="7" t="s">
        <v>3009</v>
      </c>
      <c r="I1230" s="7" t="s">
        <v>2864</v>
      </c>
      <c r="J1230" s="7" t="s">
        <v>426</v>
      </c>
      <c r="K1230" s="7" t="s">
        <v>1486</v>
      </c>
      <c r="L1230" s="7" t="s">
        <v>3838</v>
      </c>
      <c r="M1230" s="7">
        <v>12</v>
      </c>
      <c r="N1230" s="7">
        <v>12</v>
      </c>
      <c r="O1230" s="7" t="s">
        <v>42</v>
      </c>
      <c r="P1230" s="7" t="s">
        <v>2681</v>
      </c>
      <c r="Q1230" s="7">
        <v>1</v>
      </c>
      <c r="R1230" s="7">
        <v>1</v>
      </c>
      <c r="S1230" s="7">
        <v>0</v>
      </c>
      <c r="T1230" s="7">
        <v>1</v>
      </c>
      <c r="U1230" s="7">
        <v>1</v>
      </c>
      <c r="V1230" s="7" t="s">
        <v>466</v>
      </c>
      <c r="W1230" s="7">
        <v>0</v>
      </c>
      <c r="X1230" s="7">
        <v>1</v>
      </c>
      <c r="Y1230" s="7">
        <v>1</v>
      </c>
      <c r="Z1230" s="7">
        <v>1</v>
      </c>
      <c r="AA1230" s="7">
        <v>18</v>
      </c>
      <c r="AB1230" s="7">
        <v>6</v>
      </c>
      <c r="AC1230" s="7" t="s">
        <v>0</v>
      </c>
      <c r="AD1230" s="7">
        <v>1</v>
      </c>
      <c r="AE1230" s="7" t="s">
        <v>45</v>
      </c>
    </row>
    <row r="1231" spans="1:31" ht="51" x14ac:dyDescent="0.2">
      <c r="A1231" s="8" t="str">
        <f>HYPERLINK("http://www.patentics.cn/invokexml.do?sx=showpatent_cn&amp;sf=ShowPatent&amp;spn=CN106165012B&amp;sx=showpatent_cn&amp;sv=a30ca212a614506f1ed05e4d275e626b","CN106165012B")</f>
        <v>CN106165012B</v>
      </c>
      <c r="B1231" s="9" t="s">
        <v>6260</v>
      </c>
      <c r="C1231" s="9" t="s">
        <v>6261</v>
      </c>
      <c r="D1231" s="9" t="s">
        <v>301</v>
      </c>
      <c r="E1231" s="9" t="s">
        <v>301</v>
      </c>
      <c r="F1231" s="9" t="s">
        <v>6262</v>
      </c>
      <c r="G1231" s="9" t="s">
        <v>6263</v>
      </c>
      <c r="H1231" s="9" t="s">
        <v>6264</v>
      </c>
      <c r="I1231" s="9" t="s">
        <v>2561</v>
      </c>
      <c r="J1231" s="9" t="s">
        <v>6010</v>
      </c>
      <c r="K1231" s="9" t="s">
        <v>1486</v>
      </c>
      <c r="L1231" s="9" t="s">
        <v>3838</v>
      </c>
      <c r="M1231" s="9">
        <v>44</v>
      </c>
      <c r="N1231" s="9">
        <v>19</v>
      </c>
      <c r="O1231" s="9" t="s">
        <v>57</v>
      </c>
      <c r="P1231" s="9" t="s">
        <v>58</v>
      </c>
      <c r="Q1231" s="9">
        <v>3</v>
      </c>
      <c r="R1231" s="9">
        <v>0</v>
      </c>
      <c r="S1231" s="9">
        <v>3</v>
      </c>
      <c r="T1231" s="9">
        <v>3</v>
      </c>
      <c r="U1231" s="9">
        <v>0</v>
      </c>
      <c r="V1231" s="9" t="s">
        <v>114</v>
      </c>
      <c r="W1231" s="9">
        <v>0</v>
      </c>
      <c r="X1231" s="9">
        <v>0</v>
      </c>
      <c r="Y1231" s="9">
        <v>0</v>
      </c>
      <c r="Z1231" s="9">
        <v>0</v>
      </c>
      <c r="AA1231" s="9">
        <v>0</v>
      </c>
      <c r="AB1231" s="9">
        <v>0</v>
      </c>
      <c r="AC1231" s="9">
        <v>14</v>
      </c>
      <c r="AD1231" s="9" t="s">
        <v>0</v>
      </c>
      <c r="AE1231" s="9" t="s">
        <v>60</v>
      </c>
    </row>
    <row r="1232" spans="1:31" ht="38.25" x14ac:dyDescent="0.2">
      <c r="A1232" s="6" t="str">
        <f>HYPERLINK("http://www.patentics.cn/invokexml.do?sx=showpatent_cn&amp;sf=ShowPatent&amp;spn=CN101790092&amp;sx=showpatent_cn&amp;sv=8bd057d0b0560d75825fd3541f3bc347","CN101790092")</f>
        <v>CN101790092</v>
      </c>
      <c r="B1232" s="7" t="s">
        <v>6265</v>
      </c>
      <c r="C1232" s="7" t="s">
        <v>6266</v>
      </c>
      <c r="D1232" s="7" t="s">
        <v>5499</v>
      </c>
      <c r="E1232" s="7" t="s">
        <v>5500</v>
      </c>
      <c r="F1232" s="7" t="s">
        <v>6267</v>
      </c>
      <c r="G1232" s="7" t="s">
        <v>6268</v>
      </c>
      <c r="H1232" s="7" t="s">
        <v>0</v>
      </c>
      <c r="I1232" s="7" t="s">
        <v>6269</v>
      </c>
      <c r="J1232" s="7" t="s">
        <v>2540</v>
      </c>
      <c r="K1232" s="7" t="s">
        <v>714</v>
      </c>
      <c r="L1232" s="7" t="s">
        <v>1346</v>
      </c>
      <c r="M1232" s="7">
        <v>4</v>
      </c>
      <c r="N1232" s="7">
        <v>34</v>
      </c>
      <c r="O1232" s="7" t="s">
        <v>42</v>
      </c>
      <c r="P1232" s="7" t="s">
        <v>43</v>
      </c>
      <c r="Q1232" s="7">
        <v>2</v>
      </c>
      <c r="R1232" s="7">
        <v>0</v>
      </c>
      <c r="S1232" s="7">
        <v>2</v>
      </c>
      <c r="T1232" s="7">
        <v>2</v>
      </c>
      <c r="U1232" s="7">
        <v>12</v>
      </c>
      <c r="V1232" s="7" t="s">
        <v>6270</v>
      </c>
      <c r="W1232" s="7">
        <v>0</v>
      </c>
      <c r="X1232" s="7">
        <v>12</v>
      </c>
      <c r="Y1232" s="7">
        <v>6</v>
      </c>
      <c r="Z1232" s="7">
        <v>3</v>
      </c>
      <c r="AA1232" s="7">
        <v>0</v>
      </c>
      <c r="AB1232" s="7">
        <v>0</v>
      </c>
      <c r="AC1232" s="7" t="s">
        <v>0</v>
      </c>
      <c r="AD1232" s="7">
        <v>1</v>
      </c>
      <c r="AE1232" s="7" t="s">
        <v>532</v>
      </c>
    </row>
    <row r="1233" spans="1:31" ht="51" x14ac:dyDescent="0.2">
      <c r="A1233" s="8" t="str">
        <f>HYPERLINK("http://www.patentics.cn/invokexml.do?sx=showpatent_cn&amp;sf=ShowPatent&amp;spn=CN104012091B&amp;sx=showpatent_cn&amp;sv=32850ab667dfc1ad54cc7fbaaa0e7244","CN104012091B")</f>
        <v>CN104012091B</v>
      </c>
      <c r="B1233" s="9" t="s">
        <v>6271</v>
      </c>
      <c r="C1233" s="9" t="s">
        <v>6272</v>
      </c>
      <c r="D1233" s="9" t="s">
        <v>301</v>
      </c>
      <c r="E1233" s="9" t="s">
        <v>301</v>
      </c>
      <c r="F1233" s="9" t="s">
        <v>6273</v>
      </c>
      <c r="G1233" s="9" t="s">
        <v>6274</v>
      </c>
      <c r="H1233" s="9" t="s">
        <v>5718</v>
      </c>
      <c r="I1233" s="9" t="s">
        <v>6275</v>
      </c>
      <c r="J1233" s="9" t="s">
        <v>1877</v>
      </c>
      <c r="K1233" s="9" t="s">
        <v>714</v>
      </c>
      <c r="L1233" s="9" t="s">
        <v>4122</v>
      </c>
      <c r="M1233" s="9">
        <v>27</v>
      </c>
      <c r="N1233" s="9">
        <v>23</v>
      </c>
      <c r="O1233" s="9" t="s">
        <v>57</v>
      </c>
      <c r="P1233" s="9" t="s">
        <v>58</v>
      </c>
      <c r="Q1233" s="9">
        <v>3</v>
      </c>
      <c r="R1233" s="9">
        <v>0</v>
      </c>
      <c r="S1233" s="9">
        <v>3</v>
      </c>
      <c r="T1233" s="9">
        <v>3</v>
      </c>
      <c r="U1233" s="9">
        <v>0</v>
      </c>
      <c r="V1233" s="9" t="s">
        <v>114</v>
      </c>
      <c r="W1233" s="9">
        <v>0</v>
      </c>
      <c r="X1233" s="9">
        <v>0</v>
      </c>
      <c r="Y1233" s="9">
        <v>0</v>
      </c>
      <c r="Z1233" s="9">
        <v>0</v>
      </c>
      <c r="AA1233" s="9">
        <v>0</v>
      </c>
      <c r="AB1233" s="9">
        <v>0</v>
      </c>
      <c r="AC1233" s="9">
        <v>14</v>
      </c>
      <c r="AD1233" s="9" t="s">
        <v>0</v>
      </c>
      <c r="AE1233" s="9" t="s">
        <v>60</v>
      </c>
    </row>
    <row r="1234" spans="1:31" ht="38.25" x14ac:dyDescent="0.2">
      <c r="A1234" s="6" t="str">
        <f>HYPERLINK("http://www.patentics.cn/invokexml.do?sx=showpatent_cn&amp;sf=ShowPatent&amp;spn=CN101765008&amp;sx=showpatent_cn&amp;sv=f2f399c0c311625b2126c507d36567a4","CN101765008")</f>
        <v>CN101765008</v>
      </c>
      <c r="B1234" s="7" t="s">
        <v>6276</v>
      </c>
      <c r="C1234" s="7" t="s">
        <v>6277</v>
      </c>
      <c r="D1234" s="7" t="s">
        <v>2653</v>
      </c>
      <c r="E1234" s="7" t="s">
        <v>2653</v>
      </c>
      <c r="F1234" s="7" t="s">
        <v>6278</v>
      </c>
      <c r="G1234" s="7" t="s">
        <v>6279</v>
      </c>
      <c r="H1234" s="7" t="s">
        <v>6280</v>
      </c>
      <c r="I1234" s="7" t="s">
        <v>6280</v>
      </c>
      <c r="J1234" s="7" t="s">
        <v>6281</v>
      </c>
      <c r="K1234" s="7" t="s">
        <v>714</v>
      </c>
      <c r="L1234" s="7" t="s">
        <v>1346</v>
      </c>
      <c r="M1234" s="7">
        <v>10</v>
      </c>
      <c r="N1234" s="7">
        <v>9</v>
      </c>
      <c r="O1234" s="7" t="s">
        <v>42</v>
      </c>
      <c r="P1234" s="7" t="s">
        <v>43</v>
      </c>
      <c r="Q1234" s="7">
        <v>0</v>
      </c>
      <c r="R1234" s="7">
        <v>0</v>
      </c>
      <c r="S1234" s="7">
        <v>0</v>
      </c>
      <c r="T1234" s="7">
        <v>0</v>
      </c>
      <c r="U1234" s="7">
        <v>1</v>
      </c>
      <c r="V1234" s="7" t="s">
        <v>78</v>
      </c>
      <c r="W1234" s="7">
        <v>0</v>
      </c>
      <c r="X1234" s="7">
        <v>1</v>
      </c>
      <c r="Y1234" s="7">
        <v>1</v>
      </c>
      <c r="Z1234" s="7">
        <v>1</v>
      </c>
      <c r="AA1234" s="7">
        <v>1</v>
      </c>
      <c r="AB1234" s="7">
        <v>1</v>
      </c>
      <c r="AC1234" s="7" t="s">
        <v>0</v>
      </c>
      <c r="AD1234" s="7">
        <v>1</v>
      </c>
      <c r="AE1234" s="7" t="s">
        <v>60</v>
      </c>
    </row>
    <row r="1235" spans="1:31" ht="51" x14ac:dyDescent="0.2">
      <c r="A1235" s="8" t="str">
        <f>HYPERLINK("http://www.patentics.cn/invokexml.do?sx=showpatent_cn&amp;sf=ShowPatent&amp;spn=CN103140877&amp;sx=showpatent_cn&amp;sv=c254b7fa60536cc0804658e6c1ce00ab","CN103140877")</f>
        <v>CN103140877</v>
      </c>
      <c r="B1235" s="9" t="s">
        <v>3934</v>
      </c>
      <c r="C1235" s="9" t="s">
        <v>3935</v>
      </c>
      <c r="D1235" s="9" t="s">
        <v>301</v>
      </c>
      <c r="E1235" s="9" t="s">
        <v>301</v>
      </c>
      <c r="F1235" s="9" t="s">
        <v>3936</v>
      </c>
      <c r="G1235" s="9" t="s">
        <v>3937</v>
      </c>
      <c r="H1235" s="9" t="s">
        <v>3938</v>
      </c>
      <c r="I1235" s="9" t="s">
        <v>3939</v>
      </c>
      <c r="J1235" s="9" t="s">
        <v>3942</v>
      </c>
      <c r="K1235" s="9" t="s">
        <v>2163</v>
      </c>
      <c r="L1235" s="9" t="s">
        <v>3943</v>
      </c>
      <c r="M1235" s="9">
        <v>35</v>
      </c>
      <c r="N1235" s="9">
        <v>13</v>
      </c>
      <c r="O1235" s="9" t="s">
        <v>42</v>
      </c>
      <c r="P1235" s="9" t="s">
        <v>58</v>
      </c>
      <c r="Q1235" s="9">
        <v>5</v>
      </c>
      <c r="R1235" s="9">
        <v>2</v>
      </c>
      <c r="S1235" s="9">
        <v>3</v>
      </c>
      <c r="T1235" s="9">
        <v>4</v>
      </c>
      <c r="U1235" s="9">
        <v>0</v>
      </c>
      <c r="V1235" s="9" t="s">
        <v>114</v>
      </c>
      <c r="W1235" s="9">
        <v>0</v>
      </c>
      <c r="X1235" s="9">
        <v>0</v>
      </c>
      <c r="Y1235" s="9">
        <v>0</v>
      </c>
      <c r="Z1235" s="9">
        <v>0</v>
      </c>
      <c r="AA1235" s="9">
        <v>6</v>
      </c>
      <c r="AB1235" s="9">
        <v>6</v>
      </c>
      <c r="AC1235" s="9">
        <v>14</v>
      </c>
      <c r="AD1235" s="9" t="s">
        <v>0</v>
      </c>
      <c r="AE1235" s="9" t="s">
        <v>60</v>
      </c>
    </row>
    <row r="1236" spans="1:31" ht="38.25" x14ac:dyDescent="0.2">
      <c r="A1236" s="6" t="str">
        <f>HYPERLINK("http://www.patentics.cn/invokexml.do?sx=showpatent_cn&amp;sf=ShowPatent&amp;spn=CN101765986&amp;sx=showpatent_cn&amp;sv=07697f24efb3566b228e7e73783aaa54","CN101765986")</f>
        <v>CN101765986</v>
      </c>
      <c r="B1236" s="7" t="s">
        <v>6282</v>
      </c>
      <c r="C1236" s="7" t="s">
        <v>6283</v>
      </c>
      <c r="D1236" s="7" t="s">
        <v>3394</v>
      </c>
      <c r="E1236" s="7" t="s">
        <v>3394</v>
      </c>
      <c r="F1236" s="7" t="s">
        <v>6284</v>
      </c>
      <c r="G1236" s="7" t="s">
        <v>6285</v>
      </c>
      <c r="H1236" s="7" t="s">
        <v>6286</v>
      </c>
      <c r="I1236" s="7" t="s">
        <v>2342</v>
      </c>
      <c r="J1236" s="7" t="s">
        <v>6281</v>
      </c>
      <c r="K1236" s="7" t="s">
        <v>89</v>
      </c>
      <c r="L1236" s="7" t="s">
        <v>2702</v>
      </c>
      <c r="M1236" s="7">
        <v>20</v>
      </c>
      <c r="N1236" s="7">
        <v>14</v>
      </c>
      <c r="O1236" s="7" t="s">
        <v>42</v>
      </c>
      <c r="P1236" s="7" t="s">
        <v>58</v>
      </c>
      <c r="Q1236" s="7">
        <v>0</v>
      </c>
      <c r="R1236" s="7">
        <v>0</v>
      </c>
      <c r="S1236" s="7">
        <v>0</v>
      </c>
      <c r="T1236" s="7">
        <v>0</v>
      </c>
      <c r="U1236" s="7">
        <v>4</v>
      </c>
      <c r="V1236" s="7" t="s">
        <v>6287</v>
      </c>
      <c r="W1236" s="7">
        <v>0</v>
      </c>
      <c r="X1236" s="7">
        <v>4</v>
      </c>
      <c r="Y1236" s="7">
        <v>3</v>
      </c>
      <c r="Z1236" s="7">
        <v>1</v>
      </c>
      <c r="AA1236" s="7">
        <v>11</v>
      </c>
      <c r="AB1236" s="7">
        <v>6</v>
      </c>
      <c r="AC1236" s="7" t="s">
        <v>0</v>
      </c>
      <c r="AD1236" s="7">
        <v>1</v>
      </c>
      <c r="AE1236" s="7" t="s">
        <v>60</v>
      </c>
    </row>
    <row r="1237" spans="1:31" ht="63.75" x14ac:dyDescent="0.2">
      <c r="A1237" s="8" t="str">
        <f>HYPERLINK("http://www.patentics.cn/invokexml.do?sx=showpatent_cn&amp;sf=ShowPatent&amp;spn=CN103155669B&amp;sx=showpatent_cn&amp;sv=ea85aa86b007122dbaa482ec87dbbbcc","CN103155669B")</f>
        <v>CN103155669B</v>
      </c>
      <c r="B1237" s="9" t="s">
        <v>6288</v>
      </c>
      <c r="C1237" s="9" t="s">
        <v>6289</v>
      </c>
      <c r="D1237" s="9" t="s">
        <v>301</v>
      </c>
      <c r="E1237" s="9" t="s">
        <v>301</v>
      </c>
      <c r="F1237" s="9" t="s">
        <v>6290</v>
      </c>
      <c r="G1237" s="9" t="s">
        <v>6291</v>
      </c>
      <c r="H1237" s="9" t="s">
        <v>6292</v>
      </c>
      <c r="I1237" s="9" t="s">
        <v>1595</v>
      </c>
      <c r="J1237" s="9" t="s">
        <v>2178</v>
      </c>
      <c r="K1237" s="9" t="s">
        <v>55</v>
      </c>
      <c r="L1237" s="9" t="s">
        <v>206</v>
      </c>
      <c r="M1237" s="9">
        <v>23</v>
      </c>
      <c r="N1237" s="9">
        <v>24</v>
      </c>
      <c r="O1237" s="9" t="s">
        <v>57</v>
      </c>
      <c r="P1237" s="9" t="s">
        <v>58</v>
      </c>
      <c r="Q1237" s="9">
        <v>3</v>
      </c>
      <c r="R1237" s="9">
        <v>1</v>
      </c>
      <c r="S1237" s="9">
        <v>2</v>
      </c>
      <c r="T1237" s="9">
        <v>3</v>
      </c>
      <c r="U1237" s="9">
        <v>0</v>
      </c>
      <c r="V1237" s="9" t="s">
        <v>114</v>
      </c>
      <c r="W1237" s="9">
        <v>0</v>
      </c>
      <c r="X1237" s="9">
        <v>0</v>
      </c>
      <c r="Y1237" s="9">
        <v>0</v>
      </c>
      <c r="Z1237" s="9">
        <v>0</v>
      </c>
      <c r="AA1237" s="9">
        <v>11</v>
      </c>
      <c r="AB1237" s="9">
        <v>7</v>
      </c>
      <c r="AC1237" s="9">
        <v>14</v>
      </c>
      <c r="AD1237" s="9" t="s">
        <v>0</v>
      </c>
      <c r="AE1237" s="9" t="s">
        <v>60</v>
      </c>
    </row>
    <row r="1238" spans="1:31" ht="63.75" x14ac:dyDescent="0.2">
      <c r="A1238" s="6" t="str">
        <f>HYPERLINK("http://www.patentics.cn/invokexml.do?sx=showpatent_cn&amp;sf=ShowPatent&amp;spn=CN101753497&amp;sx=showpatent_cn&amp;sv=52cfb6794d201a81db5c0c8fafb671b8","CN101753497")</f>
        <v>CN101753497</v>
      </c>
      <c r="B1238" s="7" t="s">
        <v>6293</v>
      </c>
      <c r="C1238" s="7" t="s">
        <v>6294</v>
      </c>
      <c r="D1238" s="7" t="s">
        <v>2320</v>
      </c>
      <c r="E1238" s="7" t="s">
        <v>2320</v>
      </c>
      <c r="F1238" s="7" t="s">
        <v>6295</v>
      </c>
      <c r="G1238" s="7" t="s">
        <v>6296</v>
      </c>
      <c r="H1238" s="7" t="s">
        <v>6297</v>
      </c>
      <c r="I1238" s="7" t="s">
        <v>6297</v>
      </c>
      <c r="J1238" s="7" t="s">
        <v>6100</v>
      </c>
      <c r="K1238" s="7" t="s">
        <v>68</v>
      </c>
      <c r="L1238" s="7" t="s">
        <v>6298</v>
      </c>
      <c r="M1238" s="7">
        <v>3</v>
      </c>
      <c r="N1238" s="7">
        <v>24</v>
      </c>
      <c r="O1238" s="7" t="s">
        <v>42</v>
      </c>
      <c r="P1238" s="7" t="s">
        <v>43</v>
      </c>
      <c r="Q1238" s="7">
        <v>0</v>
      </c>
      <c r="R1238" s="7">
        <v>0</v>
      </c>
      <c r="S1238" s="7">
        <v>0</v>
      </c>
      <c r="T1238" s="7">
        <v>0</v>
      </c>
      <c r="U1238" s="7">
        <v>3</v>
      </c>
      <c r="V1238" s="7" t="s">
        <v>6299</v>
      </c>
      <c r="W1238" s="7">
        <v>0</v>
      </c>
      <c r="X1238" s="7">
        <v>3</v>
      </c>
      <c r="Y1238" s="7">
        <v>3</v>
      </c>
      <c r="Z1238" s="7">
        <v>3</v>
      </c>
      <c r="AA1238" s="7">
        <v>1</v>
      </c>
      <c r="AB1238" s="7">
        <v>1</v>
      </c>
      <c r="AC1238" s="7" t="s">
        <v>0</v>
      </c>
      <c r="AD1238" s="7">
        <v>1</v>
      </c>
      <c r="AE1238" s="7" t="s">
        <v>532</v>
      </c>
    </row>
    <row r="1239" spans="1:31" ht="38.25" x14ac:dyDescent="0.2">
      <c r="A1239" s="8" t="str">
        <f>HYPERLINK("http://www.patentics.cn/invokexml.do?sx=showpatent_cn&amp;sf=ShowPatent&amp;spn=US9319098&amp;sx=showpatent_cn&amp;sv=7c475f1e46cd732fdb5ef08411a4dd73","US9319098")</f>
        <v>US9319098</v>
      </c>
      <c r="B1239" s="9" t="s">
        <v>5728</v>
      </c>
      <c r="C1239" s="9" t="s">
        <v>5729</v>
      </c>
      <c r="D1239" s="9" t="s">
        <v>5730</v>
      </c>
      <c r="E1239" s="9" t="s">
        <v>49</v>
      </c>
      <c r="F1239" s="9" t="s">
        <v>5416</v>
      </c>
      <c r="G1239" s="9" t="s">
        <v>5416</v>
      </c>
      <c r="H1239" s="9" t="s">
        <v>1952</v>
      </c>
      <c r="I1239" s="9" t="s">
        <v>3789</v>
      </c>
      <c r="J1239" s="9" t="s">
        <v>1372</v>
      </c>
      <c r="K1239" s="9" t="s">
        <v>68</v>
      </c>
      <c r="L1239" s="9" t="s">
        <v>2336</v>
      </c>
      <c r="M1239" s="9">
        <v>20</v>
      </c>
      <c r="N1239" s="9">
        <v>15</v>
      </c>
      <c r="O1239" s="9" t="s">
        <v>57</v>
      </c>
      <c r="P1239" s="9" t="s">
        <v>3600</v>
      </c>
      <c r="Q1239" s="9">
        <v>44</v>
      </c>
      <c r="R1239" s="9">
        <v>2</v>
      </c>
      <c r="S1239" s="9">
        <v>42</v>
      </c>
      <c r="T1239" s="9">
        <v>34</v>
      </c>
      <c r="U1239" s="9">
        <v>0</v>
      </c>
      <c r="V1239" s="9" t="s">
        <v>114</v>
      </c>
      <c r="W1239" s="9">
        <v>0</v>
      </c>
      <c r="X1239" s="9">
        <v>0</v>
      </c>
      <c r="Y1239" s="9">
        <v>0</v>
      </c>
      <c r="Z1239" s="9">
        <v>0</v>
      </c>
      <c r="AA1239" s="9">
        <v>14</v>
      </c>
      <c r="AB1239" s="9">
        <v>3</v>
      </c>
      <c r="AC1239" s="9">
        <v>14</v>
      </c>
      <c r="AD1239" s="9" t="s">
        <v>0</v>
      </c>
      <c r="AE1239" s="9" t="s">
        <v>60</v>
      </c>
    </row>
    <row r="1240" spans="1:31" ht="38.25" x14ac:dyDescent="0.2">
      <c r="A1240" s="6" t="str">
        <f>HYPERLINK("http://www.patentics.cn/invokexml.do?sx=showpatent_cn&amp;sf=ShowPatent&amp;spn=CN101754054&amp;sx=showpatent_cn&amp;sv=a760b268327738cc5c090bd588c3251a","CN101754054")</f>
        <v>CN101754054</v>
      </c>
      <c r="B1240" s="7" t="s">
        <v>6300</v>
      </c>
      <c r="C1240" s="7" t="s">
        <v>6301</v>
      </c>
      <c r="D1240" s="7" t="s">
        <v>3962</v>
      </c>
      <c r="E1240" s="7" t="s">
        <v>3962</v>
      </c>
      <c r="F1240" s="7" t="s">
        <v>6302</v>
      </c>
      <c r="G1240" s="7" t="s">
        <v>6303</v>
      </c>
      <c r="H1240" s="7" t="s">
        <v>6304</v>
      </c>
      <c r="I1240" s="7" t="s">
        <v>6304</v>
      </c>
      <c r="J1240" s="7" t="s">
        <v>6100</v>
      </c>
      <c r="K1240" s="7" t="s">
        <v>96</v>
      </c>
      <c r="L1240" s="7" t="s">
        <v>4037</v>
      </c>
      <c r="M1240" s="7">
        <v>18</v>
      </c>
      <c r="N1240" s="7">
        <v>24</v>
      </c>
      <c r="O1240" s="7" t="s">
        <v>42</v>
      </c>
      <c r="P1240" s="7" t="s">
        <v>43</v>
      </c>
      <c r="Q1240" s="7">
        <v>0</v>
      </c>
      <c r="R1240" s="7">
        <v>0</v>
      </c>
      <c r="S1240" s="7">
        <v>0</v>
      </c>
      <c r="T1240" s="7">
        <v>0</v>
      </c>
      <c r="U1240" s="7">
        <v>1</v>
      </c>
      <c r="V1240" s="7" t="s">
        <v>1591</v>
      </c>
      <c r="W1240" s="7">
        <v>0</v>
      </c>
      <c r="X1240" s="7">
        <v>1</v>
      </c>
      <c r="Y1240" s="7">
        <v>1</v>
      </c>
      <c r="Z1240" s="7">
        <v>1</v>
      </c>
      <c r="AA1240" s="7">
        <v>1</v>
      </c>
      <c r="AB1240" s="7">
        <v>1</v>
      </c>
      <c r="AC1240" s="7" t="s">
        <v>0</v>
      </c>
      <c r="AD1240" s="7">
        <v>1</v>
      </c>
      <c r="AE1240" s="7" t="s">
        <v>60</v>
      </c>
    </row>
    <row r="1241" spans="1:31" ht="280.5" x14ac:dyDescent="0.2">
      <c r="A1241" s="8" t="str">
        <f>HYPERLINK("http://www.patentics.cn/invokexml.do?sx=showpatent_cn&amp;sf=ShowPatent&amp;spn=WO2016082151&amp;sx=showpatent_cn&amp;sv=2acd817fe3f327d97c966c7a2898bb7f","WO2016082151")</f>
        <v>WO2016082151</v>
      </c>
      <c r="B1241" s="9" t="s">
        <v>6305</v>
      </c>
      <c r="C1241" s="9" t="s">
        <v>6306</v>
      </c>
      <c r="D1241" s="9" t="s">
        <v>117</v>
      </c>
      <c r="E1241" s="9" t="s">
        <v>49</v>
      </c>
      <c r="F1241" s="9" t="s">
        <v>6307</v>
      </c>
      <c r="G1241" s="9" t="s">
        <v>6308</v>
      </c>
      <c r="H1241" s="9" t="s">
        <v>0</v>
      </c>
      <c r="I1241" s="9" t="s">
        <v>6309</v>
      </c>
      <c r="J1241" s="9" t="s">
        <v>6310</v>
      </c>
      <c r="K1241" s="9" t="s">
        <v>55</v>
      </c>
      <c r="L1241" s="9" t="s">
        <v>206</v>
      </c>
      <c r="M1241" s="9">
        <v>21</v>
      </c>
      <c r="N1241" s="9">
        <v>2</v>
      </c>
      <c r="O1241" s="9" t="s">
        <v>850</v>
      </c>
      <c r="P1241" s="9" t="s">
        <v>1932</v>
      </c>
      <c r="Q1241" s="9">
        <v>4</v>
      </c>
      <c r="R1241" s="9">
        <v>1</v>
      </c>
      <c r="S1241" s="9">
        <v>3</v>
      </c>
      <c r="T1241" s="9">
        <v>3</v>
      </c>
      <c r="U1241" s="9">
        <v>0</v>
      </c>
      <c r="V1241" s="9" t="s">
        <v>114</v>
      </c>
      <c r="W1241" s="9">
        <v>0</v>
      </c>
      <c r="X1241" s="9">
        <v>0</v>
      </c>
      <c r="Y1241" s="9">
        <v>0</v>
      </c>
      <c r="Z1241" s="9">
        <v>0</v>
      </c>
      <c r="AA1241" s="9">
        <v>0</v>
      </c>
      <c r="AB1241" s="9">
        <v>0</v>
      </c>
      <c r="AC1241" s="9">
        <v>14</v>
      </c>
      <c r="AD1241" s="9" t="s">
        <v>0</v>
      </c>
      <c r="AE1241" s="9" t="s">
        <v>0</v>
      </c>
    </row>
    <row r="1242" spans="1:31" ht="38.25" x14ac:dyDescent="0.2">
      <c r="A1242" s="6" t="str">
        <f>HYPERLINK("http://www.patentics.cn/invokexml.do?sx=showpatent_cn&amp;sf=ShowPatent&amp;spn=CN101732041&amp;sx=showpatent_cn&amp;sv=11e9ed057f84df5006c84d89e32a1709","CN101732041")</f>
        <v>CN101732041</v>
      </c>
      <c r="B1242" s="7" t="s">
        <v>6311</v>
      </c>
      <c r="C1242" s="7" t="s">
        <v>6312</v>
      </c>
      <c r="D1242" s="7" t="s">
        <v>932</v>
      </c>
      <c r="E1242" s="7" t="s">
        <v>932</v>
      </c>
      <c r="F1242" s="7" t="s">
        <v>6313</v>
      </c>
      <c r="G1242" s="7" t="s">
        <v>6314</v>
      </c>
      <c r="H1242" s="7" t="s">
        <v>6315</v>
      </c>
      <c r="I1242" s="7" t="s">
        <v>6315</v>
      </c>
      <c r="J1242" s="7" t="s">
        <v>6316</v>
      </c>
      <c r="K1242" s="7" t="s">
        <v>3379</v>
      </c>
      <c r="L1242" s="7" t="s">
        <v>6317</v>
      </c>
      <c r="M1242" s="7">
        <v>10</v>
      </c>
      <c r="N1242" s="7">
        <v>16</v>
      </c>
      <c r="O1242" s="7" t="s">
        <v>42</v>
      </c>
      <c r="P1242" s="7" t="s">
        <v>43</v>
      </c>
      <c r="Q1242" s="7">
        <v>0</v>
      </c>
      <c r="R1242" s="7">
        <v>0</v>
      </c>
      <c r="S1242" s="7">
        <v>0</v>
      </c>
      <c r="T1242" s="7">
        <v>0</v>
      </c>
      <c r="U1242" s="7">
        <v>18</v>
      </c>
      <c r="V1242" s="7" t="s">
        <v>6318</v>
      </c>
      <c r="W1242" s="7">
        <v>0</v>
      </c>
      <c r="X1242" s="7">
        <v>18</v>
      </c>
      <c r="Y1242" s="7">
        <v>13</v>
      </c>
      <c r="Z1242" s="7">
        <v>3</v>
      </c>
      <c r="AA1242" s="7">
        <v>1</v>
      </c>
      <c r="AB1242" s="7">
        <v>1</v>
      </c>
      <c r="AC1242" s="7" t="s">
        <v>0</v>
      </c>
      <c r="AD1242" s="7">
        <v>1</v>
      </c>
      <c r="AE1242" s="7" t="s">
        <v>532</v>
      </c>
    </row>
    <row r="1243" spans="1:31" ht="63.75" x14ac:dyDescent="0.2">
      <c r="A1243" s="8" t="str">
        <f>HYPERLINK("http://www.patentics.cn/invokexml.do?sx=showpatent_cn&amp;sf=ShowPatent&amp;spn=US9041530&amp;sx=showpatent_cn&amp;sv=e668076e4d4e86966246b1810eca5cf6","US9041530")</f>
        <v>US9041530</v>
      </c>
      <c r="B1243" s="9" t="s">
        <v>6319</v>
      </c>
      <c r="C1243" s="9" t="s">
        <v>6320</v>
      </c>
      <c r="D1243" s="9" t="s">
        <v>48</v>
      </c>
      <c r="E1243" s="9" t="s">
        <v>49</v>
      </c>
      <c r="F1243" s="9" t="s">
        <v>6321</v>
      </c>
      <c r="G1243" s="9" t="s">
        <v>6322</v>
      </c>
      <c r="H1243" s="9" t="s">
        <v>1635</v>
      </c>
      <c r="I1243" s="9" t="s">
        <v>6323</v>
      </c>
      <c r="J1243" s="9" t="s">
        <v>1653</v>
      </c>
      <c r="K1243" s="9" t="s">
        <v>557</v>
      </c>
      <c r="L1243" s="9" t="s">
        <v>6324</v>
      </c>
      <c r="M1243" s="9">
        <v>90</v>
      </c>
      <c r="N1243" s="9">
        <v>23</v>
      </c>
      <c r="O1243" s="9" t="s">
        <v>57</v>
      </c>
      <c r="P1243" s="9" t="s">
        <v>58</v>
      </c>
      <c r="Q1243" s="9">
        <v>21</v>
      </c>
      <c r="R1243" s="9">
        <v>0</v>
      </c>
      <c r="S1243" s="9">
        <v>21</v>
      </c>
      <c r="T1243" s="9">
        <v>15</v>
      </c>
      <c r="U1243" s="9">
        <v>0</v>
      </c>
      <c r="V1243" s="9" t="s">
        <v>114</v>
      </c>
      <c r="W1243" s="9">
        <v>0</v>
      </c>
      <c r="X1243" s="9">
        <v>0</v>
      </c>
      <c r="Y1243" s="9">
        <v>0</v>
      </c>
      <c r="Z1243" s="9">
        <v>0</v>
      </c>
      <c r="AA1243" s="9">
        <v>6</v>
      </c>
      <c r="AB1243" s="9">
        <v>5</v>
      </c>
      <c r="AC1243" s="9">
        <v>14</v>
      </c>
      <c r="AD1243" s="9" t="s">
        <v>0</v>
      </c>
      <c r="AE1243" s="9" t="s">
        <v>60</v>
      </c>
    </row>
    <row r="1244" spans="1:31" ht="76.5" x14ac:dyDescent="0.2">
      <c r="A1244" s="6" t="str">
        <f>HYPERLINK("http://www.patentics.cn/invokexml.do?sx=showpatent_cn&amp;sf=ShowPatent&amp;spn=CN101741414&amp;sx=showpatent_cn&amp;sv=4dbd7c7b491d93e75afae9fd7d6c99d2","CN101741414")</f>
        <v>CN101741414</v>
      </c>
      <c r="B1244" s="7" t="s">
        <v>6325</v>
      </c>
      <c r="C1244" s="7" t="s">
        <v>6326</v>
      </c>
      <c r="D1244" s="7" t="s">
        <v>2320</v>
      </c>
      <c r="E1244" s="7" t="s">
        <v>2320</v>
      </c>
      <c r="F1244" s="7" t="s">
        <v>6327</v>
      </c>
      <c r="G1244" s="7" t="s">
        <v>6328</v>
      </c>
      <c r="H1244" s="7" t="s">
        <v>0</v>
      </c>
      <c r="I1244" s="7" t="s">
        <v>6280</v>
      </c>
      <c r="J1244" s="7" t="s">
        <v>6316</v>
      </c>
      <c r="K1244" s="7" t="s">
        <v>89</v>
      </c>
      <c r="L1244" s="7" t="s">
        <v>6329</v>
      </c>
      <c r="M1244" s="7">
        <v>4</v>
      </c>
      <c r="N1244" s="7">
        <v>35</v>
      </c>
      <c r="O1244" s="7" t="s">
        <v>42</v>
      </c>
      <c r="P1244" s="7" t="s">
        <v>43</v>
      </c>
      <c r="Q1244" s="7">
        <v>0</v>
      </c>
      <c r="R1244" s="7">
        <v>0</v>
      </c>
      <c r="S1244" s="7">
        <v>0</v>
      </c>
      <c r="T1244" s="7">
        <v>0</v>
      </c>
      <c r="U1244" s="7">
        <v>2</v>
      </c>
      <c r="V1244" s="7" t="s">
        <v>6330</v>
      </c>
      <c r="W1244" s="7">
        <v>0</v>
      </c>
      <c r="X1244" s="7">
        <v>2</v>
      </c>
      <c r="Y1244" s="7">
        <v>2</v>
      </c>
      <c r="Z1244" s="7">
        <v>2</v>
      </c>
      <c r="AA1244" s="7">
        <v>0</v>
      </c>
      <c r="AB1244" s="7">
        <v>0</v>
      </c>
      <c r="AC1244" s="7" t="s">
        <v>0</v>
      </c>
      <c r="AD1244" s="7">
        <v>1</v>
      </c>
      <c r="AE1244" s="7" t="s">
        <v>45</v>
      </c>
    </row>
    <row r="1245" spans="1:31" ht="38.25" x14ac:dyDescent="0.2">
      <c r="A1245" s="8" t="str">
        <f>HYPERLINK("http://www.patentics.cn/invokexml.do?sx=showpatent_cn&amp;sf=ShowPatent&amp;spn=US9319098&amp;sx=showpatent_cn&amp;sv=7c475f1e46cd732fdb5ef08411a4dd73","US9319098")</f>
        <v>US9319098</v>
      </c>
      <c r="B1245" s="9" t="s">
        <v>5728</v>
      </c>
      <c r="C1245" s="9" t="s">
        <v>5729</v>
      </c>
      <c r="D1245" s="9" t="s">
        <v>5730</v>
      </c>
      <c r="E1245" s="9" t="s">
        <v>49</v>
      </c>
      <c r="F1245" s="9" t="s">
        <v>5416</v>
      </c>
      <c r="G1245" s="9" t="s">
        <v>5416</v>
      </c>
      <c r="H1245" s="9" t="s">
        <v>1952</v>
      </c>
      <c r="I1245" s="9" t="s">
        <v>3789</v>
      </c>
      <c r="J1245" s="9" t="s">
        <v>1372</v>
      </c>
      <c r="K1245" s="9" t="s">
        <v>68</v>
      </c>
      <c r="L1245" s="9" t="s">
        <v>2336</v>
      </c>
      <c r="M1245" s="9">
        <v>20</v>
      </c>
      <c r="N1245" s="9">
        <v>15</v>
      </c>
      <c r="O1245" s="9" t="s">
        <v>57</v>
      </c>
      <c r="P1245" s="9" t="s">
        <v>3600</v>
      </c>
      <c r="Q1245" s="9">
        <v>44</v>
      </c>
      <c r="R1245" s="9">
        <v>2</v>
      </c>
      <c r="S1245" s="9">
        <v>42</v>
      </c>
      <c r="T1245" s="9">
        <v>34</v>
      </c>
      <c r="U1245" s="9">
        <v>0</v>
      </c>
      <c r="V1245" s="9" t="s">
        <v>114</v>
      </c>
      <c r="W1245" s="9">
        <v>0</v>
      </c>
      <c r="X1245" s="9">
        <v>0</v>
      </c>
      <c r="Y1245" s="9">
        <v>0</v>
      </c>
      <c r="Z1245" s="9">
        <v>0</v>
      </c>
      <c r="AA1245" s="9">
        <v>14</v>
      </c>
      <c r="AB1245" s="9">
        <v>3</v>
      </c>
      <c r="AC1245" s="9">
        <v>14</v>
      </c>
      <c r="AD1245" s="9" t="s">
        <v>0</v>
      </c>
      <c r="AE1245" s="9" t="s">
        <v>60</v>
      </c>
    </row>
    <row r="1246" spans="1:31" ht="25.5" x14ac:dyDescent="0.2">
      <c r="A1246" s="6" t="str">
        <f>HYPERLINK("http://www.patentics.cn/invokexml.do?sx=showpatent_cn&amp;sf=ShowPatent&amp;spn=CN101730227&amp;sx=showpatent_cn&amp;sv=94e5a0e8a1dbf202e24940460c0932a6","CN101730227")</f>
        <v>CN101730227</v>
      </c>
      <c r="B1246" s="7" t="s">
        <v>6331</v>
      </c>
      <c r="C1246" s="7" t="s">
        <v>6332</v>
      </c>
      <c r="D1246" s="7" t="s">
        <v>6333</v>
      </c>
      <c r="E1246" s="7" t="s">
        <v>6333</v>
      </c>
      <c r="F1246" s="7" t="s">
        <v>6334</v>
      </c>
      <c r="G1246" s="7" t="s">
        <v>6335</v>
      </c>
      <c r="H1246" s="7" t="s">
        <v>6336</v>
      </c>
      <c r="I1246" s="7" t="s">
        <v>6336</v>
      </c>
      <c r="J1246" s="7" t="s">
        <v>3636</v>
      </c>
      <c r="K1246" s="7" t="s">
        <v>55</v>
      </c>
      <c r="L1246" s="7" t="s">
        <v>1175</v>
      </c>
      <c r="M1246" s="7">
        <v>1</v>
      </c>
      <c r="N1246" s="7">
        <v>21</v>
      </c>
      <c r="O1246" s="7" t="s">
        <v>42</v>
      </c>
      <c r="P1246" s="7" t="s">
        <v>43</v>
      </c>
      <c r="Q1246" s="7">
        <v>0</v>
      </c>
      <c r="R1246" s="7">
        <v>0</v>
      </c>
      <c r="S1246" s="7">
        <v>0</v>
      </c>
      <c r="T1246" s="7">
        <v>0</v>
      </c>
      <c r="U1246" s="7">
        <v>4</v>
      </c>
      <c r="V1246" s="7" t="s">
        <v>6337</v>
      </c>
      <c r="W1246" s="7">
        <v>0</v>
      </c>
      <c r="X1246" s="7">
        <v>4</v>
      </c>
      <c r="Y1246" s="7">
        <v>3</v>
      </c>
      <c r="Z1246" s="7">
        <v>2</v>
      </c>
      <c r="AA1246" s="7">
        <v>1</v>
      </c>
      <c r="AB1246" s="7">
        <v>1</v>
      </c>
      <c r="AC1246" s="7" t="s">
        <v>0</v>
      </c>
      <c r="AD1246" s="7">
        <v>1</v>
      </c>
      <c r="AE1246" s="7" t="s">
        <v>60</v>
      </c>
    </row>
    <row r="1247" spans="1:31" ht="38.25" x14ac:dyDescent="0.2">
      <c r="A1247" s="8" t="str">
        <f>HYPERLINK("http://www.patentics.cn/invokexml.do?sx=showpatent_cn&amp;sf=ShowPatent&amp;spn=US9332383&amp;sx=showpatent_cn&amp;sv=95302435be3d167436a55655afc2752a","US9332383")</f>
        <v>US9332383</v>
      </c>
      <c r="B1247" s="9" t="s">
        <v>6102</v>
      </c>
      <c r="C1247" s="9" t="s">
        <v>6103</v>
      </c>
      <c r="D1247" s="9" t="s">
        <v>48</v>
      </c>
      <c r="E1247" s="9" t="s">
        <v>49</v>
      </c>
      <c r="F1247" s="9" t="s">
        <v>6104</v>
      </c>
      <c r="G1247" s="9" t="s">
        <v>6105</v>
      </c>
      <c r="H1247" s="9" t="s">
        <v>5563</v>
      </c>
      <c r="I1247" s="9" t="s">
        <v>2384</v>
      </c>
      <c r="J1247" s="9" t="s">
        <v>6106</v>
      </c>
      <c r="K1247" s="9" t="s">
        <v>55</v>
      </c>
      <c r="L1247" s="9" t="s">
        <v>1175</v>
      </c>
      <c r="M1247" s="9">
        <v>27</v>
      </c>
      <c r="N1247" s="9">
        <v>21</v>
      </c>
      <c r="O1247" s="9" t="s">
        <v>57</v>
      </c>
      <c r="P1247" s="9" t="s">
        <v>58</v>
      </c>
      <c r="Q1247" s="9">
        <v>94</v>
      </c>
      <c r="R1247" s="9">
        <v>36</v>
      </c>
      <c r="S1247" s="9">
        <v>58</v>
      </c>
      <c r="T1247" s="9">
        <v>40</v>
      </c>
      <c r="U1247" s="9">
        <v>0</v>
      </c>
      <c r="V1247" s="9" t="s">
        <v>114</v>
      </c>
      <c r="W1247" s="9">
        <v>0</v>
      </c>
      <c r="X1247" s="9">
        <v>0</v>
      </c>
      <c r="Y1247" s="9">
        <v>0</v>
      </c>
      <c r="Z1247" s="9">
        <v>0</v>
      </c>
      <c r="AA1247" s="9">
        <v>11</v>
      </c>
      <c r="AB1247" s="9">
        <v>7</v>
      </c>
      <c r="AC1247" s="9">
        <v>14</v>
      </c>
      <c r="AD1247" s="9" t="s">
        <v>0</v>
      </c>
      <c r="AE1247" s="9" t="s">
        <v>60</v>
      </c>
    </row>
    <row r="1248" spans="1:31" ht="76.5" x14ac:dyDescent="0.2">
      <c r="A1248" s="6" t="str">
        <f>HYPERLINK("http://www.patentics.cn/invokexml.do?sx=showpatent_cn&amp;sf=ShowPatent&amp;spn=CN101706741&amp;sx=showpatent_cn&amp;sv=b9c60ed3207a976f24affb088e5fc9bc","CN101706741")</f>
        <v>CN101706741</v>
      </c>
      <c r="B1248" s="7" t="s">
        <v>6338</v>
      </c>
      <c r="C1248" s="7" t="s">
        <v>6339</v>
      </c>
      <c r="D1248" s="7" t="s">
        <v>2548</v>
      </c>
      <c r="E1248" s="7" t="s">
        <v>2549</v>
      </c>
      <c r="F1248" s="7" t="s">
        <v>6340</v>
      </c>
      <c r="G1248" s="7" t="s">
        <v>6341</v>
      </c>
      <c r="H1248" s="7" t="s">
        <v>6342</v>
      </c>
      <c r="I1248" s="7" t="s">
        <v>6342</v>
      </c>
      <c r="J1248" s="7" t="s">
        <v>6343</v>
      </c>
      <c r="K1248" s="7" t="s">
        <v>885</v>
      </c>
      <c r="L1248" s="7" t="s">
        <v>1059</v>
      </c>
      <c r="M1248" s="7">
        <v>4</v>
      </c>
      <c r="N1248" s="7">
        <v>53</v>
      </c>
      <c r="O1248" s="7" t="s">
        <v>42</v>
      </c>
      <c r="P1248" s="7" t="s">
        <v>43</v>
      </c>
      <c r="Q1248" s="7">
        <v>0</v>
      </c>
      <c r="R1248" s="7">
        <v>0</v>
      </c>
      <c r="S1248" s="7">
        <v>0</v>
      </c>
      <c r="T1248" s="7">
        <v>0</v>
      </c>
      <c r="U1248" s="7">
        <v>18</v>
      </c>
      <c r="V1248" s="7" t="s">
        <v>6344</v>
      </c>
      <c r="W1248" s="7">
        <v>1</v>
      </c>
      <c r="X1248" s="7">
        <v>17</v>
      </c>
      <c r="Y1248" s="7">
        <v>12</v>
      </c>
      <c r="Z1248" s="7">
        <v>3</v>
      </c>
      <c r="AA1248" s="7">
        <v>1</v>
      </c>
      <c r="AB1248" s="7">
        <v>1</v>
      </c>
      <c r="AC1248" s="7" t="s">
        <v>0</v>
      </c>
      <c r="AD1248" s="7">
        <v>1</v>
      </c>
      <c r="AE1248" s="7" t="s">
        <v>60</v>
      </c>
    </row>
    <row r="1249" spans="1:31" ht="51" x14ac:dyDescent="0.2">
      <c r="A1249" s="8" t="str">
        <f>HYPERLINK("http://www.patentics.cn/invokexml.do?sx=showpatent_cn&amp;sf=ShowPatent&amp;spn=CN103502946B&amp;sx=showpatent_cn&amp;sv=1fcb98cd86afab2a83f25e700f622852","CN103502946B")</f>
        <v>CN103502946B</v>
      </c>
      <c r="B1249" s="9" t="s">
        <v>6345</v>
      </c>
      <c r="C1249" s="9" t="s">
        <v>6346</v>
      </c>
      <c r="D1249" s="9" t="s">
        <v>301</v>
      </c>
      <c r="E1249" s="9" t="s">
        <v>301</v>
      </c>
      <c r="F1249" s="9" t="s">
        <v>6347</v>
      </c>
      <c r="G1249" s="9" t="s">
        <v>6348</v>
      </c>
      <c r="H1249" s="9" t="s">
        <v>6349</v>
      </c>
      <c r="I1249" s="9" t="s">
        <v>6350</v>
      </c>
      <c r="J1249" s="9" t="s">
        <v>5868</v>
      </c>
      <c r="K1249" s="9" t="s">
        <v>885</v>
      </c>
      <c r="L1249" s="9" t="s">
        <v>1059</v>
      </c>
      <c r="M1249" s="9">
        <v>27</v>
      </c>
      <c r="N1249" s="9">
        <v>21</v>
      </c>
      <c r="O1249" s="9" t="s">
        <v>57</v>
      </c>
      <c r="P1249" s="9" t="s">
        <v>58</v>
      </c>
      <c r="Q1249" s="9">
        <v>3</v>
      </c>
      <c r="R1249" s="9">
        <v>0</v>
      </c>
      <c r="S1249" s="9">
        <v>3</v>
      </c>
      <c r="T1249" s="9">
        <v>3</v>
      </c>
      <c r="U1249" s="9">
        <v>0</v>
      </c>
      <c r="V1249" s="9" t="s">
        <v>114</v>
      </c>
      <c r="W1249" s="9">
        <v>0</v>
      </c>
      <c r="X1249" s="9">
        <v>0</v>
      </c>
      <c r="Y1249" s="9">
        <v>0</v>
      </c>
      <c r="Z1249" s="9">
        <v>0</v>
      </c>
      <c r="AA1249" s="9">
        <v>0</v>
      </c>
      <c r="AB1249" s="9">
        <v>0</v>
      </c>
      <c r="AC1249" s="9">
        <v>14</v>
      </c>
      <c r="AD1249" s="9" t="s">
        <v>0</v>
      </c>
      <c r="AE1249" s="9" t="s">
        <v>60</v>
      </c>
    </row>
    <row r="1250" spans="1:31" ht="38.25" x14ac:dyDescent="0.2">
      <c r="A1250" s="6" t="str">
        <f>HYPERLINK("http://www.patentics.cn/invokexml.do?sx=showpatent_cn&amp;sf=ShowPatent&amp;spn=CN101674304&amp;sx=showpatent_cn&amp;sv=9522f10679d7b8ce1a9cc4a5fa2a1977","CN101674304")</f>
        <v>CN101674304</v>
      </c>
      <c r="B1250" s="7" t="s">
        <v>6351</v>
      </c>
      <c r="C1250" s="7" t="s">
        <v>6352</v>
      </c>
      <c r="D1250" s="7" t="s">
        <v>6353</v>
      </c>
      <c r="E1250" s="7" t="s">
        <v>6353</v>
      </c>
      <c r="F1250" s="7" t="s">
        <v>6354</v>
      </c>
      <c r="G1250" s="7" t="s">
        <v>6355</v>
      </c>
      <c r="H1250" s="7" t="s">
        <v>6356</v>
      </c>
      <c r="I1250" s="7" t="s">
        <v>6356</v>
      </c>
      <c r="J1250" s="7" t="s">
        <v>1959</v>
      </c>
      <c r="K1250" s="7" t="s">
        <v>68</v>
      </c>
      <c r="L1250" s="7" t="s">
        <v>2336</v>
      </c>
      <c r="M1250" s="7">
        <v>10</v>
      </c>
      <c r="N1250" s="7">
        <v>35</v>
      </c>
      <c r="O1250" s="7" t="s">
        <v>42</v>
      </c>
      <c r="P1250" s="7" t="s">
        <v>43</v>
      </c>
      <c r="Q1250" s="7">
        <v>0</v>
      </c>
      <c r="R1250" s="7">
        <v>0</v>
      </c>
      <c r="S1250" s="7">
        <v>0</v>
      </c>
      <c r="T1250" s="7">
        <v>0</v>
      </c>
      <c r="U1250" s="7">
        <v>35</v>
      </c>
      <c r="V1250" s="7" t="s">
        <v>6357</v>
      </c>
      <c r="W1250" s="7">
        <v>0</v>
      </c>
      <c r="X1250" s="7">
        <v>35</v>
      </c>
      <c r="Y1250" s="7">
        <v>21</v>
      </c>
      <c r="Z1250" s="7">
        <v>3</v>
      </c>
      <c r="AA1250" s="7">
        <v>1</v>
      </c>
      <c r="AB1250" s="7">
        <v>1</v>
      </c>
      <c r="AC1250" s="7" t="s">
        <v>0</v>
      </c>
      <c r="AD1250" s="7">
        <v>1</v>
      </c>
      <c r="AE1250" s="7" t="s">
        <v>532</v>
      </c>
    </row>
    <row r="1251" spans="1:31" ht="38.25" x14ac:dyDescent="0.2">
      <c r="A1251" s="8" t="str">
        <f>HYPERLINK("http://www.patentics.cn/invokexml.do?sx=showpatent_cn&amp;sf=ShowPatent&amp;spn=CN103314550B&amp;sx=showpatent_cn&amp;sv=3e08581464e7c5026063327a6bdd783d","CN103314550B")</f>
        <v>CN103314550B</v>
      </c>
      <c r="B1251" s="9" t="s">
        <v>6358</v>
      </c>
      <c r="C1251" s="9" t="s">
        <v>6359</v>
      </c>
      <c r="D1251" s="9" t="s">
        <v>301</v>
      </c>
      <c r="E1251" s="9" t="s">
        <v>301</v>
      </c>
      <c r="F1251" s="9" t="s">
        <v>6360</v>
      </c>
      <c r="G1251" s="9" t="s">
        <v>6361</v>
      </c>
      <c r="H1251" s="9" t="s">
        <v>6362</v>
      </c>
      <c r="I1251" s="9" t="s">
        <v>5939</v>
      </c>
      <c r="J1251" s="9" t="s">
        <v>1667</v>
      </c>
      <c r="K1251" s="9" t="s">
        <v>68</v>
      </c>
      <c r="L1251" s="9" t="s">
        <v>2953</v>
      </c>
      <c r="M1251" s="9">
        <v>18</v>
      </c>
      <c r="N1251" s="9">
        <v>16</v>
      </c>
      <c r="O1251" s="9" t="s">
        <v>57</v>
      </c>
      <c r="P1251" s="9" t="s">
        <v>58</v>
      </c>
      <c r="Q1251" s="9">
        <v>4</v>
      </c>
      <c r="R1251" s="9">
        <v>0</v>
      </c>
      <c r="S1251" s="9">
        <v>4</v>
      </c>
      <c r="T1251" s="9">
        <v>3</v>
      </c>
      <c r="U1251" s="9">
        <v>0</v>
      </c>
      <c r="V1251" s="9" t="s">
        <v>114</v>
      </c>
      <c r="W1251" s="9">
        <v>0</v>
      </c>
      <c r="X1251" s="9">
        <v>0</v>
      </c>
      <c r="Y1251" s="9">
        <v>0</v>
      </c>
      <c r="Z1251" s="9">
        <v>0</v>
      </c>
      <c r="AA1251" s="9">
        <v>0</v>
      </c>
      <c r="AB1251" s="9">
        <v>0</v>
      </c>
      <c r="AC1251" s="9">
        <v>14</v>
      </c>
      <c r="AD1251" s="9" t="s">
        <v>0</v>
      </c>
      <c r="AE1251" s="9" t="s">
        <v>60</v>
      </c>
    </row>
    <row r="1252" spans="1:31" ht="25.5" x14ac:dyDescent="0.2">
      <c r="A1252" s="6" t="str">
        <f>HYPERLINK("http://www.patentics.cn/invokexml.do?sx=showpatent_cn&amp;sf=ShowPatent&amp;spn=CN101667811&amp;sx=showpatent_cn&amp;sv=7b391fb771fc0b1c902ebbb1ab3986ac","CN101667811")</f>
        <v>CN101667811</v>
      </c>
      <c r="B1252" s="7" t="s">
        <v>6363</v>
      </c>
      <c r="C1252" s="7" t="s">
        <v>6364</v>
      </c>
      <c r="D1252" s="7" t="s">
        <v>6365</v>
      </c>
      <c r="E1252" s="7" t="s">
        <v>6365</v>
      </c>
      <c r="F1252" s="7" t="s">
        <v>6366</v>
      </c>
      <c r="G1252" s="7" t="s">
        <v>6367</v>
      </c>
      <c r="H1252" s="7" t="s">
        <v>0</v>
      </c>
      <c r="I1252" s="7" t="s">
        <v>6368</v>
      </c>
      <c r="J1252" s="7" t="s">
        <v>6369</v>
      </c>
      <c r="K1252" s="7" t="s">
        <v>1993</v>
      </c>
      <c r="L1252" s="7" t="s">
        <v>6370</v>
      </c>
      <c r="M1252" s="7">
        <v>3</v>
      </c>
      <c r="N1252" s="7">
        <v>8</v>
      </c>
      <c r="O1252" s="7" t="s">
        <v>42</v>
      </c>
      <c r="P1252" s="7" t="s">
        <v>43</v>
      </c>
      <c r="Q1252" s="7">
        <v>0</v>
      </c>
      <c r="R1252" s="7">
        <v>0</v>
      </c>
      <c r="S1252" s="7">
        <v>0</v>
      </c>
      <c r="T1252" s="7">
        <v>0</v>
      </c>
      <c r="U1252" s="7">
        <v>2</v>
      </c>
      <c r="V1252" s="7" t="s">
        <v>2977</v>
      </c>
      <c r="W1252" s="7">
        <v>0</v>
      </c>
      <c r="X1252" s="7">
        <v>2</v>
      </c>
      <c r="Y1252" s="7">
        <v>2</v>
      </c>
      <c r="Z1252" s="7">
        <v>1</v>
      </c>
      <c r="AA1252" s="7">
        <v>0</v>
      </c>
      <c r="AB1252" s="7">
        <v>0</v>
      </c>
      <c r="AC1252" s="7" t="s">
        <v>0</v>
      </c>
      <c r="AD1252" s="7">
        <v>1</v>
      </c>
      <c r="AE1252" s="7" t="s">
        <v>1390</v>
      </c>
    </row>
    <row r="1253" spans="1:31" ht="153" x14ac:dyDescent="0.2">
      <c r="A1253" s="8" t="str">
        <f>HYPERLINK("http://www.patentics.cn/invokexml.do?sx=showpatent_cn&amp;sf=ShowPatent&amp;spn=US8471649&amp;sx=showpatent_cn&amp;sv=2a0da7406b6c823a211214aea3d59d8f","US8471649")</f>
        <v>US8471649</v>
      </c>
      <c r="B1253" s="9" t="s">
        <v>6371</v>
      </c>
      <c r="C1253" s="9" t="s">
        <v>6372</v>
      </c>
      <c r="D1253" s="9" t="s">
        <v>48</v>
      </c>
      <c r="E1253" s="9" t="s">
        <v>49</v>
      </c>
      <c r="F1253" s="9" t="s">
        <v>6373</v>
      </c>
      <c r="G1253" s="9" t="s">
        <v>6374</v>
      </c>
      <c r="H1253" s="9" t="s">
        <v>6375</v>
      </c>
      <c r="I1253" s="9" t="s">
        <v>6376</v>
      </c>
      <c r="J1253" s="9" t="s">
        <v>6377</v>
      </c>
      <c r="K1253" s="9" t="s">
        <v>6378</v>
      </c>
      <c r="L1253" s="9" t="s">
        <v>6379</v>
      </c>
      <c r="M1253" s="9">
        <v>7</v>
      </c>
      <c r="N1253" s="9">
        <v>17</v>
      </c>
      <c r="O1253" s="9" t="s">
        <v>57</v>
      </c>
      <c r="P1253" s="9" t="s">
        <v>58</v>
      </c>
      <c r="Q1253" s="9">
        <v>16</v>
      </c>
      <c r="R1253" s="9">
        <v>0</v>
      </c>
      <c r="S1253" s="9">
        <v>16</v>
      </c>
      <c r="T1253" s="9">
        <v>12</v>
      </c>
      <c r="U1253" s="9">
        <v>1</v>
      </c>
      <c r="V1253" s="9" t="s">
        <v>515</v>
      </c>
      <c r="W1253" s="9">
        <v>0</v>
      </c>
      <c r="X1253" s="9">
        <v>1</v>
      </c>
      <c r="Y1253" s="9">
        <v>1</v>
      </c>
      <c r="Z1253" s="9">
        <v>1</v>
      </c>
      <c r="AA1253" s="9">
        <v>5</v>
      </c>
      <c r="AB1253" s="9">
        <v>2</v>
      </c>
      <c r="AC1253" s="9">
        <v>14</v>
      </c>
      <c r="AD1253" s="9" t="s">
        <v>0</v>
      </c>
      <c r="AE1253" s="9" t="s">
        <v>60</v>
      </c>
    </row>
    <row r="1254" spans="1:31" ht="38.25" x14ac:dyDescent="0.2">
      <c r="A1254" s="6" t="str">
        <f>HYPERLINK("http://www.patentics.cn/invokexml.do?sx=showpatent_cn&amp;sf=ShowPatent&amp;spn=CN101661163&amp;sx=showpatent_cn&amp;sv=a4b083a16a12a40168d938ecad898cd4","CN101661163")</f>
        <v>CN101661163</v>
      </c>
      <c r="B1254" s="7" t="s">
        <v>6380</v>
      </c>
      <c r="C1254" s="7" t="s">
        <v>6381</v>
      </c>
      <c r="D1254" s="7" t="s">
        <v>5260</v>
      </c>
      <c r="E1254" s="7" t="s">
        <v>5260</v>
      </c>
      <c r="F1254" s="7" t="s">
        <v>6382</v>
      </c>
      <c r="G1254" s="7" t="s">
        <v>6383</v>
      </c>
      <c r="H1254" s="7" t="s">
        <v>0</v>
      </c>
      <c r="I1254" s="7" t="s">
        <v>6384</v>
      </c>
      <c r="J1254" s="7" t="s">
        <v>6385</v>
      </c>
      <c r="K1254" s="7" t="s">
        <v>622</v>
      </c>
      <c r="L1254" s="7" t="s">
        <v>6386</v>
      </c>
      <c r="M1254" s="7">
        <v>6</v>
      </c>
      <c r="N1254" s="7">
        <v>28</v>
      </c>
      <c r="O1254" s="7" t="s">
        <v>42</v>
      </c>
      <c r="P1254" s="7" t="s">
        <v>43</v>
      </c>
      <c r="Q1254" s="7">
        <v>1</v>
      </c>
      <c r="R1254" s="7">
        <v>0</v>
      </c>
      <c r="S1254" s="7">
        <v>1</v>
      </c>
      <c r="T1254" s="7">
        <v>1</v>
      </c>
      <c r="U1254" s="7">
        <v>11</v>
      </c>
      <c r="V1254" s="7" t="s">
        <v>6387</v>
      </c>
      <c r="W1254" s="7">
        <v>0</v>
      </c>
      <c r="X1254" s="7">
        <v>11</v>
      </c>
      <c r="Y1254" s="7">
        <v>6</v>
      </c>
      <c r="Z1254" s="7">
        <v>3</v>
      </c>
      <c r="AA1254" s="7">
        <v>0</v>
      </c>
      <c r="AB1254" s="7">
        <v>0</v>
      </c>
      <c r="AC1254" s="7" t="s">
        <v>0</v>
      </c>
      <c r="AD1254" s="7">
        <v>1</v>
      </c>
      <c r="AE1254" s="7" t="s">
        <v>45</v>
      </c>
    </row>
    <row r="1255" spans="1:31" ht="25.5" x14ac:dyDescent="0.2">
      <c r="A1255" s="8" t="str">
        <f>HYPERLINK("http://www.patentics.cn/invokexml.do?sx=showpatent_cn&amp;sf=ShowPatent&amp;spn=CN103262097B&amp;sx=showpatent_cn&amp;sv=afea7ec47da84d33867049eb8bb915e1","CN103262097B")</f>
        <v>CN103262097B</v>
      </c>
      <c r="B1255" s="9" t="s">
        <v>6388</v>
      </c>
      <c r="C1255" s="9" t="s">
        <v>6389</v>
      </c>
      <c r="D1255" s="9" t="s">
        <v>301</v>
      </c>
      <c r="E1255" s="9" t="s">
        <v>301</v>
      </c>
      <c r="F1255" s="9" t="s">
        <v>6390</v>
      </c>
      <c r="G1255" s="9" t="s">
        <v>6390</v>
      </c>
      <c r="H1255" s="9" t="s">
        <v>6391</v>
      </c>
      <c r="I1255" s="9" t="s">
        <v>6392</v>
      </c>
      <c r="J1255" s="9" t="s">
        <v>6393</v>
      </c>
      <c r="K1255" s="9" t="s">
        <v>529</v>
      </c>
      <c r="L1255" s="9" t="s">
        <v>6394</v>
      </c>
      <c r="M1255" s="9">
        <v>41</v>
      </c>
      <c r="N1255" s="9">
        <v>16</v>
      </c>
      <c r="O1255" s="9" t="s">
        <v>57</v>
      </c>
      <c r="P1255" s="9" t="s">
        <v>58</v>
      </c>
      <c r="Q1255" s="9">
        <v>5</v>
      </c>
      <c r="R1255" s="9">
        <v>0</v>
      </c>
      <c r="S1255" s="9">
        <v>5</v>
      </c>
      <c r="T1255" s="9">
        <v>4</v>
      </c>
      <c r="U1255" s="9">
        <v>0</v>
      </c>
      <c r="V1255" s="9" t="s">
        <v>114</v>
      </c>
      <c r="W1255" s="9">
        <v>0</v>
      </c>
      <c r="X1255" s="9">
        <v>0</v>
      </c>
      <c r="Y1255" s="9">
        <v>0</v>
      </c>
      <c r="Z1255" s="9">
        <v>0</v>
      </c>
      <c r="AA1255" s="9">
        <v>8</v>
      </c>
      <c r="AB1255" s="9">
        <v>6</v>
      </c>
      <c r="AC1255" s="9">
        <v>14</v>
      </c>
      <c r="AD1255" s="9" t="s">
        <v>0</v>
      </c>
      <c r="AE1255" s="9" t="s">
        <v>60</v>
      </c>
    </row>
    <row r="1256" spans="1:31" ht="63.75" x14ac:dyDescent="0.2">
      <c r="A1256" s="6" t="str">
        <f>HYPERLINK("http://www.patentics.cn/invokexml.do?sx=showpatent_cn&amp;sf=ShowPatent&amp;spn=CN101635057&amp;sx=showpatent_cn&amp;sv=6c4b7024775c678392fc5c5da5d5049a","CN101635057")</f>
        <v>CN101635057</v>
      </c>
      <c r="B1256" s="7" t="s">
        <v>6395</v>
      </c>
      <c r="C1256" s="7" t="s">
        <v>6396</v>
      </c>
      <c r="D1256" s="7" t="s">
        <v>4056</v>
      </c>
      <c r="E1256" s="7" t="s">
        <v>4056</v>
      </c>
      <c r="F1256" s="7" t="s">
        <v>6397</v>
      </c>
      <c r="G1256" s="7" t="s">
        <v>6398</v>
      </c>
      <c r="H1256" s="7" t="s">
        <v>425</v>
      </c>
      <c r="I1256" s="7" t="s">
        <v>425</v>
      </c>
      <c r="J1256" s="7" t="s">
        <v>4817</v>
      </c>
      <c r="K1256" s="7" t="s">
        <v>2163</v>
      </c>
      <c r="L1256" s="7" t="s">
        <v>2164</v>
      </c>
      <c r="M1256" s="7">
        <v>8</v>
      </c>
      <c r="N1256" s="7">
        <v>41</v>
      </c>
      <c r="O1256" s="7" t="s">
        <v>42</v>
      </c>
      <c r="P1256" s="7" t="s">
        <v>43</v>
      </c>
      <c r="Q1256" s="7">
        <v>1</v>
      </c>
      <c r="R1256" s="7">
        <v>0</v>
      </c>
      <c r="S1256" s="7">
        <v>1</v>
      </c>
      <c r="T1256" s="7">
        <v>1</v>
      </c>
      <c r="U1256" s="7">
        <v>4</v>
      </c>
      <c r="V1256" s="7" t="s">
        <v>2455</v>
      </c>
      <c r="W1256" s="7">
        <v>0</v>
      </c>
      <c r="X1256" s="7">
        <v>4</v>
      </c>
      <c r="Y1256" s="7">
        <v>3</v>
      </c>
      <c r="Z1256" s="7">
        <v>2</v>
      </c>
      <c r="AA1256" s="7">
        <v>1</v>
      </c>
      <c r="AB1256" s="7">
        <v>1</v>
      </c>
      <c r="AC1256" s="7" t="s">
        <v>0</v>
      </c>
      <c r="AD1256" s="7">
        <v>1</v>
      </c>
      <c r="AE1256" s="7" t="s">
        <v>60</v>
      </c>
    </row>
    <row r="1257" spans="1:31" ht="38.25" x14ac:dyDescent="0.2">
      <c r="A1257" s="8" t="str">
        <f>HYPERLINK("http://www.patentics.cn/invokexml.do?sx=showpatent_cn&amp;sf=ShowPatent&amp;spn=US9369677&amp;sx=showpatent_cn&amp;sv=324aeebeac9fae5813c1653374a5e1c2","US9369677")</f>
        <v>US9369677</v>
      </c>
      <c r="B1257" s="9" t="s">
        <v>6399</v>
      </c>
      <c r="C1257" s="9" t="s">
        <v>6400</v>
      </c>
      <c r="D1257" s="9" t="s">
        <v>6401</v>
      </c>
      <c r="E1257" s="9" t="s">
        <v>49</v>
      </c>
      <c r="F1257" s="9" t="s">
        <v>6402</v>
      </c>
      <c r="G1257" s="9" t="s">
        <v>6402</v>
      </c>
      <c r="H1257" s="9" t="s">
        <v>6054</v>
      </c>
      <c r="I1257" s="9" t="s">
        <v>6054</v>
      </c>
      <c r="J1257" s="9" t="s">
        <v>3385</v>
      </c>
      <c r="K1257" s="9" t="s">
        <v>714</v>
      </c>
      <c r="L1257" s="9" t="s">
        <v>1439</v>
      </c>
      <c r="M1257" s="9">
        <v>15</v>
      </c>
      <c r="N1257" s="9">
        <v>19</v>
      </c>
      <c r="O1257" s="9" t="s">
        <v>57</v>
      </c>
      <c r="P1257" s="9" t="s">
        <v>58</v>
      </c>
      <c r="Q1257" s="9">
        <v>19</v>
      </c>
      <c r="R1257" s="9">
        <v>1</v>
      </c>
      <c r="S1257" s="9">
        <v>18</v>
      </c>
      <c r="T1257" s="9">
        <v>15</v>
      </c>
      <c r="U1257" s="9">
        <v>0</v>
      </c>
      <c r="V1257" s="9" t="s">
        <v>114</v>
      </c>
      <c r="W1257" s="9">
        <v>0</v>
      </c>
      <c r="X1257" s="9">
        <v>0</v>
      </c>
      <c r="Y1257" s="9">
        <v>0</v>
      </c>
      <c r="Z1257" s="9">
        <v>0</v>
      </c>
      <c r="AA1257" s="9">
        <v>4</v>
      </c>
      <c r="AB1257" s="9">
        <v>3</v>
      </c>
      <c r="AC1257" s="9">
        <v>14</v>
      </c>
      <c r="AD1257" s="9" t="s">
        <v>0</v>
      </c>
      <c r="AE1257" s="9" t="s">
        <v>60</v>
      </c>
    </row>
    <row r="1258" spans="1:31" ht="51" x14ac:dyDescent="0.2">
      <c r="A1258" s="6" t="str">
        <f>HYPERLINK("http://www.patentics.cn/invokexml.do?sx=showpatent_cn&amp;sf=ShowPatent&amp;spn=CN101622620&amp;sx=showpatent_cn&amp;sv=18e2c0a410ada74ea993fe1f7071ab17","CN101622620")</f>
        <v>CN101622620</v>
      </c>
      <c r="B1258" s="7" t="s">
        <v>6403</v>
      </c>
      <c r="C1258" s="7" t="s">
        <v>6404</v>
      </c>
      <c r="D1258" s="7" t="s">
        <v>6405</v>
      </c>
      <c r="E1258" s="7" t="s">
        <v>6405</v>
      </c>
      <c r="F1258" s="7" t="s">
        <v>6406</v>
      </c>
      <c r="G1258" s="7" t="s">
        <v>6407</v>
      </c>
      <c r="H1258" s="7" t="s">
        <v>6408</v>
      </c>
      <c r="I1258" s="7" t="s">
        <v>4161</v>
      </c>
      <c r="J1258" s="7" t="s">
        <v>3721</v>
      </c>
      <c r="K1258" s="7" t="s">
        <v>885</v>
      </c>
      <c r="L1258" s="7" t="s">
        <v>2325</v>
      </c>
      <c r="M1258" s="7">
        <v>22</v>
      </c>
      <c r="N1258" s="7">
        <v>12</v>
      </c>
      <c r="O1258" s="7" t="s">
        <v>42</v>
      </c>
      <c r="P1258" s="7" t="s">
        <v>58</v>
      </c>
      <c r="Q1258" s="7">
        <v>0</v>
      </c>
      <c r="R1258" s="7">
        <v>0</v>
      </c>
      <c r="S1258" s="7">
        <v>0</v>
      </c>
      <c r="T1258" s="7">
        <v>0</v>
      </c>
      <c r="U1258" s="7">
        <v>5</v>
      </c>
      <c r="V1258" s="7" t="s">
        <v>6409</v>
      </c>
      <c r="W1258" s="7">
        <v>0</v>
      </c>
      <c r="X1258" s="7">
        <v>5</v>
      </c>
      <c r="Y1258" s="7">
        <v>3</v>
      </c>
      <c r="Z1258" s="7">
        <v>3</v>
      </c>
      <c r="AA1258" s="7">
        <v>21</v>
      </c>
      <c r="AB1258" s="7">
        <v>9</v>
      </c>
      <c r="AC1258" s="7" t="s">
        <v>0</v>
      </c>
      <c r="AD1258" s="7">
        <v>1</v>
      </c>
      <c r="AE1258" s="7" t="s">
        <v>60</v>
      </c>
    </row>
    <row r="1259" spans="1:31" ht="25.5" x14ac:dyDescent="0.2">
      <c r="A1259" s="8" t="str">
        <f>HYPERLINK("http://www.patentics.cn/invokexml.do?sx=showpatent_cn&amp;sf=ShowPatent&amp;spn=CN103748593B&amp;sx=showpatent_cn&amp;sv=792732087d1b36c8e10346018b990d7e","CN103748593B")</f>
        <v>CN103748593B</v>
      </c>
      <c r="B1259" s="9" t="s">
        <v>6410</v>
      </c>
      <c r="C1259" s="9" t="s">
        <v>6411</v>
      </c>
      <c r="D1259" s="9" t="s">
        <v>301</v>
      </c>
      <c r="E1259" s="9" t="s">
        <v>301</v>
      </c>
      <c r="F1259" s="9" t="s">
        <v>6412</v>
      </c>
      <c r="G1259" s="9" t="s">
        <v>6413</v>
      </c>
      <c r="H1259" s="9" t="s">
        <v>904</v>
      </c>
      <c r="I1259" s="9" t="s">
        <v>920</v>
      </c>
      <c r="J1259" s="9" t="s">
        <v>6248</v>
      </c>
      <c r="K1259" s="9" t="s">
        <v>885</v>
      </c>
      <c r="L1259" s="9" t="s">
        <v>6414</v>
      </c>
      <c r="M1259" s="9">
        <v>24</v>
      </c>
      <c r="N1259" s="9">
        <v>14</v>
      </c>
      <c r="O1259" s="9" t="s">
        <v>57</v>
      </c>
      <c r="P1259" s="9" t="s">
        <v>58</v>
      </c>
      <c r="Q1259" s="9">
        <v>7</v>
      </c>
      <c r="R1259" s="9">
        <v>0</v>
      </c>
      <c r="S1259" s="9">
        <v>7</v>
      </c>
      <c r="T1259" s="9">
        <v>6</v>
      </c>
      <c r="U1259" s="9">
        <v>0</v>
      </c>
      <c r="V1259" s="9" t="s">
        <v>114</v>
      </c>
      <c r="W1259" s="9">
        <v>0</v>
      </c>
      <c r="X1259" s="9">
        <v>0</v>
      </c>
      <c r="Y1259" s="9">
        <v>0</v>
      </c>
      <c r="Z1259" s="9">
        <v>0</v>
      </c>
      <c r="AA1259" s="9">
        <v>0</v>
      </c>
      <c r="AB1259" s="9">
        <v>0</v>
      </c>
      <c r="AC1259" s="9">
        <v>14</v>
      </c>
      <c r="AD1259" s="9" t="s">
        <v>0</v>
      </c>
      <c r="AE1259" s="9" t="s">
        <v>60</v>
      </c>
    </row>
    <row r="1260" spans="1:31" ht="89.25" x14ac:dyDescent="0.2">
      <c r="A1260" s="6" t="str">
        <f>HYPERLINK("http://www.patentics.cn/invokexml.do?sx=showpatent_cn&amp;sf=ShowPatent&amp;spn=CN101617197&amp;sx=showpatent_cn&amp;sv=3935117bfd6c17efa9c7d0fbbdda4bea","CN101617197")</f>
        <v>CN101617197</v>
      </c>
      <c r="B1260" s="7" t="s">
        <v>6415</v>
      </c>
      <c r="C1260" s="7" t="s">
        <v>6416</v>
      </c>
      <c r="D1260" s="7" t="s">
        <v>6417</v>
      </c>
      <c r="E1260" s="7" t="s">
        <v>6418</v>
      </c>
      <c r="F1260" s="7" t="s">
        <v>6419</v>
      </c>
      <c r="G1260" s="7" t="s">
        <v>6420</v>
      </c>
      <c r="H1260" s="7" t="s">
        <v>6421</v>
      </c>
      <c r="I1260" s="7" t="s">
        <v>6422</v>
      </c>
      <c r="J1260" s="7" t="s">
        <v>6423</v>
      </c>
      <c r="K1260" s="7" t="s">
        <v>937</v>
      </c>
      <c r="L1260" s="7" t="s">
        <v>6424</v>
      </c>
      <c r="M1260" s="7">
        <v>38</v>
      </c>
      <c r="N1260" s="7">
        <v>18</v>
      </c>
      <c r="O1260" s="7" t="s">
        <v>42</v>
      </c>
      <c r="P1260" s="7" t="s">
        <v>2681</v>
      </c>
      <c r="Q1260" s="7">
        <v>2</v>
      </c>
      <c r="R1260" s="7">
        <v>0</v>
      </c>
      <c r="S1260" s="7">
        <v>2</v>
      </c>
      <c r="T1260" s="7">
        <v>2</v>
      </c>
      <c r="U1260" s="7">
        <v>11</v>
      </c>
      <c r="V1260" s="7" t="s">
        <v>6425</v>
      </c>
      <c r="W1260" s="7">
        <v>0</v>
      </c>
      <c r="X1260" s="7">
        <v>11</v>
      </c>
      <c r="Y1260" s="7">
        <v>7</v>
      </c>
      <c r="Z1260" s="7">
        <v>2</v>
      </c>
      <c r="AA1260" s="7">
        <v>19</v>
      </c>
      <c r="AB1260" s="7">
        <v>6</v>
      </c>
      <c r="AC1260" s="7" t="s">
        <v>0</v>
      </c>
      <c r="AD1260" s="7">
        <v>1</v>
      </c>
      <c r="AE1260" s="7" t="s">
        <v>60</v>
      </c>
    </row>
    <row r="1261" spans="1:31" ht="63.75" x14ac:dyDescent="0.2">
      <c r="A1261" s="8" t="str">
        <f>HYPERLINK("http://www.patentics.cn/invokexml.do?sx=showpatent_cn&amp;sf=ShowPatent&amp;spn=CN103827634B&amp;sx=showpatent_cn&amp;sv=8b76269058ce66a1440f0c93eabeabf5","CN103827634B")</f>
        <v>CN103827634B</v>
      </c>
      <c r="B1261" s="9" t="s">
        <v>6426</v>
      </c>
      <c r="C1261" s="9" t="s">
        <v>6427</v>
      </c>
      <c r="D1261" s="9" t="s">
        <v>301</v>
      </c>
      <c r="E1261" s="9" t="s">
        <v>301</v>
      </c>
      <c r="F1261" s="9" t="s">
        <v>6428</v>
      </c>
      <c r="G1261" s="9" t="s">
        <v>6429</v>
      </c>
      <c r="H1261" s="9" t="s">
        <v>6430</v>
      </c>
      <c r="I1261" s="9" t="s">
        <v>6431</v>
      </c>
      <c r="J1261" s="9" t="s">
        <v>4052</v>
      </c>
      <c r="K1261" s="9" t="s">
        <v>937</v>
      </c>
      <c r="L1261" s="9" t="s">
        <v>6432</v>
      </c>
      <c r="M1261" s="9">
        <v>29</v>
      </c>
      <c r="N1261" s="9">
        <v>19</v>
      </c>
      <c r="O1261" s="9" t="s">
        <v>57</v>
      </c>
      <c r="P1261" s="9" t="s">
        <v>58</v>
      </c>
      <c r="Q1261" s="9">
        <v>5</v>
      </c>
      <c r="R1261" s="9">
        <v>1</v>
      </c>
      <c r="S1261" s="9">
        <v>4</v>
      </c>
      <c r="T1261" s="9">
        <v>5</v>
      </c>
      <c r="U1261" s="9">
        <v>0</v>
      </c>
      <c r="V1261" s="9" t="s">
        <v>114</v>
      </c>
      <c r="W1261" s="9">
        <v>0</v>
      </c>
      <c r="X1261" s="9">
        <v>0</v>
      </c>
      <c r="Y1261" s="9">
        <v>0</v>
      </c>
      <c r="Z1261" s="9">
        <v>0</v>
      </c>
      <c r="AA1261" s="9">
        <v>0</v>
      </c>
      <c r="AB1261" s="9">
        <v>0</v>
      </c>
      <c r="AC1261" s="9">
        <v>14</v>
      </c>
      <c r="AD1261" s="9" t="s">
        <v>0</v>
      </c>
      <c r="AE1261" s="9" t="s">
        <v>60</v>
      </c>
    </row>
    <row r="1262" spans="1:31" ht="38.25" x14ac:dyDescent="0.2">
      <c r="A1262" s="6" t="str">
        <f>HYPERLINK("http://www.patentics.cn/invokexml.do?sx=showpatent_cn&amp;sf=ShowPatent&amp;spn=CN101593253&amp;sx=showpatent_cn&amp;sv=067b0cd6ba5277148880e5d308dcc291","CN101593253")</f>
        <v>CN101593253</v>
      </c>
      <c r="B1262" s="7" t="s">
        <v>6433</v>
      </c>
      <c r="C1262" s="7" t="s">
        <v>6434</v>
      </c>
      <c r="D1262" s="7" t="s">
        <v>6435</v>
      </c>
      <c r="E1262" s="7" t="s">
        <v>6436</v>
      </c>
      <c r="F1262" s="7" t="s">
        <v>6437</v>
      </c>
      <c r="G1262" s="7" t="s">
        <v>6438</v>
      </c>
      <c r="H1262" s="7" t="s">
        <v>5994</v>
      </c>
      <c r="I1262" s="7" t="s">
        <v>5994</v>
      </c>
      <c r="J1262" s="7" t="s">
        <v>1456</v>
      </c>
      <c r="K1262" s="7" t="s">
        <v>885</v>
      </c>
      <c r="L1262" s="7" t="s">
        <v>2959</v>
      </c>
      <c r="M1262" s="7">
        <v>11</v>
      </c>
      <c r="N1262" s="7">
        <v>8</v>
      </c>
      <c r="O1262" s="7" t="s">
        <v>42</v>
      </c>
      <c r="P1262" s="7" t="s">
        <v>43</v>
      </c>
      <c r="Q1262" s="7">
        <v>0</v>
      </c>
      <c r="R1262" s="7">
        <v>0</v>
      </c>
      <c r="S1262" s="7">
        <v>0</v>
      </c>
      <c r="T1262" s="7">
        <v>0</v>
      </c>
      <c r="U1262" s="7">
        <v>23</v>
      </c>
      <c r="V1262" s="7" t="s">
        <v>6439</v>
      </c>
      <c r="W1262" s="7">
        <v>0</v>
      </c>
      <c r="X1262" s="7">
        <v>23</v>
      </c>
      <c r="Y1262" s="7">
        <v>6</v>
      </c>
      <c r="Z1262" s="7">
        <v>4</v>
      </c>
      <c r="AA1262" s="7">
        <v>1</v>
      </c>
      <c r="AB1262" s="7">
        <v>1</v>
      </c>
      <c r="AC1262" s="7" t="s">
        <v>0</v>
      </c>
      <c r="AD1262" s="7">
        <v>1</v>
      </c>
      <c r="AE1262" s="7" t="s">
        <v>60</v>
      </c>
    </row>
    <row r="1263" spans="1:31" ht="51" x14ac:dyDescent="0.2">
      <c r="A1263" s="8" t="str">
        <f>HYPERLINK("http://www.patentics.cn/invokexml.do?sx=showpatent_cn&amp;sf=ShowPatent&amp;spn=CN104221026B&amp;sx=showpatent_cn&amp;sv=fdb9169f991a6541ae6e7ed8c36407f3","CN104221026B")</f>
        <v>CN104221026B</v>
      </c>
      <c r="B1263" s="9" t="s">
        <v>6440</v>
      </c>
      <c r="C1263" s="9" t="s">
        <v>6441</v>
      </c>
      <c r="D1263" s="9" t="s">
        <v>301</v>
      </c>
      <c r="E1263" s="9" t="s">
        <v>301</v>
      </c>
      <c r="F1263" s="9" t="s">
        <v>6442</v>
      </c>
      <c r="G1263" s="9" t="s">
        <v>6443</v>
      </c>
      <c r="H1263" s="9" t="s">
        <v>6444</v>
      </c>
      <c r="I1263" s="9" t="s">
        <v>6445</v>
      </c>
      <c r="J1263" s="9" t="s">
        <v>1877</v>
      </c>
      <c r="K1263" s="9" t="s">
        <v>885</v>
      </c>
      <c r="L1263" s="9" t="s">
        <v>1333</v>
      </c>
      <c r="M1263" s="9">
        <v>11</v>
      </c>
      <c r="N1263" s="9">
        <v>15</v>
      </c>
      <c r="O1263" s="9" t="s">
        <v>57</v>
      </c>
      <c r="P1263" s="9" t="s">
        <v>58</v>
      </c>
      <c r="Q1263" s="9">
        <v>6</v>
      </c>
      <c r="R1263" s="9">
        <v>0</v>
      </c>
      <c r="S1263" s="9">
        <v>6</v>
      </c>
      <c r="T1263" s="9">
        <v>5</v>
      </c>
      <c r="U1263" s="9">
        <v>0</v>
      </c>
      <c r="V1263" s="9" t="s">
        <v>114</v>
      </c>
      <c r="W1263" s="9">
        <v>0</v>
      </c>
      <c r="X1263" s="9">
        <v>0</v>
      </c>
      <c r="Y1263" s="9">
        <v>0</v>
      </c>
      <c r="Z1263" s="9">
        <v>0</v>
      </c>
      <c r="AA1263" s="9">
        <v>0</v>
      </c>
      <c r="AB1263" s="9">
        <v>0</v>
      </c>
      <c r="AC1263" s="9">
        <v>14</v>
      </c>
      <c r="AD1263" s="9" t="s">
        <v>0</v>
      </c>
      <c r="AE1263" s="9" t="s">
        <v>60</v>
      </c>
    </row>
    <row r="1264" spans="1:31" ht="51" x14ac:dyDescent="0.2">
      <c r="A1264" s="6" t="str">
        <f>HYPERLINK("http://www.patentics.cn/invokexml.do?sx=showpatent_cn&amp;sf=ShowPatent&amp;spn=CN101568132&amp;sx=showpatent_cn&amp;sv=eba445a27e76b1b164417338cf5f0e27","CN101568132")</f>
        <v>CN101568132</v>
      </c>
      <c r="B1264" s="7" t="s">
        <v>6446</v>
      </c>
      <c r="C1264" s="7" t="s">
        <v>6447</v>
      </c>
      <c r="D1264" s="7" t="s">
        <v>6448</v>
      </c>
      <c r="E1264" s="7" t="s">
        <v>6449</v>
      </c>
      <c r="F1264" s="7" t="s">
        <v>6450</v>
      </c>
      <c r="G1264" s="7" t="s">
        <v>6451</v>
      </c>
      <c r="H1264" s="7" t="s">
        <v>6452</v>
      </c>
      <c r="I1264" s="7" t="s">
        <v>6453</v>
      </c>
      <c r="J1264" s="7" t="s">
        <v>2360</v>
      </c>
      <c r="K1264" s="7" t="s">
        <v>55</v>
      </c>
      <c r="L1264" s="7" t="s">
        <v>947</v>
      </c>
      <c r="M1264" s="7">
        <v>8</v>
      </c>
      <c r="N1264" s="7">
        <v>14</v>
      </c>
      <c r="O1264" s="7" t="s">
        <v>42</v>
      </c>
      <c r="P1264" s="7" t="s">
        <v>341</v>
      </c>
      <c r="Q1264" s="7">
        <v>0</v>
      </c>
      <c r="R1264" s="7">
        <v>0</v>
      </c>
      <c r="S1264" s="7">
        <v>0</v>
      </c>
      <c r="T1264" s="7">
        <v>0</v>
      </c>
      <c r="U1264" s="7">
        <v>5</v>
      </c>
      <c r="V1264" s="7" t="s">
        <v>6454</v>
      </c>
      <c r="W1264" s="7">
        <v>0</v>
      </c>
      <c r="X1264" s="7">
        <v>5</v>
      </c>
      <c r="Y1264" s="7">
        <v>3</v>
      </c>
      <c r="Z1264" s="7">
        <v>3</v>
      </c>
      <c r="AA1264" s="7">
        <v>7</v>
      </c>
      <c r="AB1264" s="7">
        <v>4</v>
      </c>
      <c r="AC1264" s="7" t="s">
        <v>0</v>
      </c>
      <c r="AD1264" s="7">
        <v>1</v>
      </c>
      <c r="AE1264" s="7" t="s">
        <v>60</v>
      </c>
    </row>
    <row r="1265" spans="1:31" ht="76.5" x14ac:dyDescent="0.2">
      <c r="A1265" s="8" t="str">
        <f>HYPERLINK("http://www.patentics.cn/invokexml.do?sx=showpatent_cn&amp;sf=ShowPatent&amp;spn=WO2016090609&amp;sx=showpatent_cn&amp;sv=36af38609b521814785cff48cbf276e9","WO2016090609")</f>
        <v>WO2016090609</v>
      </c>
      <c r="B1265" s="9" t="s">
        <v>6455</v>
      </c>
      <c r="C1265" s="9" t="s">
        <v>6456</v>
      </c>
      <c r="D1265" s="9" t="s">
        <v>117</v>
      </c>
      <c r="E1265" s="9" t="s">
        <v>49</v>
      </c>
      <c r="F1265" s="9" t="s">
        <v>6457</v>
      </c>
      <c r="G1265" s="9" t="s">
        <v>6458</v>
      </c>
      <c r="H1265" s="9" t="s">
        <v>0</v>
      </c>
      <c r="I1265" s="9" t="s">
        <v>2823</v>
      </c>
      <c r="J1265" s="9" t="s">
        <v>6459</v>
      </c>
      <c r="K1265" s="9" t="s">
        <v>55</v>
      </c>
      <c r="L1265" s="9" t="s">
        <v>150</v>
      </c>
      <c r="M1265" s="9">
        <v>30</v>
      </c>
      <c r="N1265" s="9">
        <v>0</v>
      </c>
      <c r="O1265" s="9" t="s">
        <v>850</v>
      </c>
      <c r="P1265" s="9" t="s">
        <v>1932</v>
      </c>
      <c r="Q1265" s="9">
        <v>6</v>
      </c>
      <c r="R1265" s="9">
        <v>0</v>
      </c>
      <c r="S1265" s="9">
        <v>6</v>
      </c>
      <c r="T1265" s="9">
        <v>4</v>
      </c>
      <c r="U1265" s="9">
        <v>0</v>
      </c>
      <c r="V1265" s="9" t="s">
        <v>114</v>
      </c>
      <c r="W1265" s="9">
        <v>0</v>
      </c>
      <c r="X1265" s="9">
        <v>0</v>
      </c>
      <c r="Y1265" s="9">
        <v>0</v>
      </c>
      <c r="Z1265" s="9">
        <v>0</v>
      </c>
      <c r="AA1265" s="9">
        <v>0</v>
      </c>
      <c r="AB1265" s="9">
        <v>0</v>
      </c>
      <c r="AC1265" s="9">
        <v>14</v>
      </c>
      <c r="AD1265" s="9" t="s">
        <v>0</v>
      </c>
      <c r="AE1265" s="9" t="s">
        <v>0</v>
      </c>
    </row>
    <row r="1266" spans="1:31" ht="63.75" x14ac:dyDescent="0.2">
      <c r="A1266" s="6" t="str">
        <f>HYPERLINK("http://www.patentics.cn/invokexml.do?sx=showpatent_cn&amp;sf=ShowPatent&amp;spn=CN101568124&amp;sx=showpatent_cn&amp;sv=82770e6307bd96522c31363cd9d96edd","CN101568124")</f>
        <v>CN101568124</v>
      </c>
      <c r="B1266" s="7" t="s">
        <v>6460</v>
      </c>
      <c r="C1266" s="7" t="s">
        <v>6461</v>
      </c>
      <c r="D1266" s="7" t="s">
        <v>4441</v>
      </c>
      <c r="E1266" s="7" t="s">
        <v>4441</v>
      </c>
      <c r="F1266" s="7" t="s">
        <v>6462</v>
      </c>
      <c r="G1266" s="7" t="s">
        <v>6463</v>
      </c>
      <c r="H1266" s="7" t="s">
        <v>1902</v>
      </c>
      <c r="I1266" s="7" t="s">
        <v>1902</v>
      </c>
      <c r="J1266" s="7" t="s">
        <v>2360</v>
      </c>
      <c r="K1266" s="7" t="s">
        <v>55</v>
      </c>
      <c r="L1266" s="7" t="s">
        <v>2529</v>
      </c>
      <c r="M1266" s="7">
        <v>7</v>
      </c>
      <c r="N1266" s="7">
        <v>59</v>
      </c>
      <c r="O1266" s="7" t="s">
        <v>42</v>
      </c>
      <c r="P1266" s="7" t="s">
        <v>43</v>
      </c>
      <c r="Q1266" s="7">
        <v>0</v>
      </c>
      <c r="R1266" s="7">
        <v>0</v>
      </c>
      <c r="S1266" s="7">
        <v>0</v>
      </c>
      <c r="T1266" s="7">
        <v>0</v>
      </c>
      <c r="U1266" s="7">
        <v>16</v>
      </c>
      <c r="V1266" s="7" t="s">
        <v>6464</v>
      </c>
      <c r="W1266" s="7">
        <v>0</v>
      </c>
      <c r="X1266" s="7">
        <v>16</v>
      </c>
      <c r="Y1266" s="7">
        <v>8</v>
      </c>
      <c r="Z1266" s="7">
        <v>3</v>
      </c>
      <c r="AA1266" s="7">
        <v>1</v>
      </c>
      <c r="AB1266" s="7">
        <v>1</v>
      </c>
      <c r="AC1266" s="7" t="s">
        <v>0</v>
      </c>
      <c r="AD1266" s="7">
        <v>1</v>
      </c>
      <c r="AE1266" s="7" t="s">
        <v>532</v>
      </c>
    </row>
    <row r="1267" spans="1:31" ht="76.5" x14ac:dyDescent="0.2">
      <c r="A1267" s="8" t="str">
        <f>HYPERLINK("http://www.patentics.cn/invokexml.do?sx=showpatent_cn&amp;sf=ShowPatent&amp;spn=US9560682&amp;sx=showpatent_cn&amp;sv=83e101e627ba9c0162ff07e4f8632d1d","US9560682")</f>
        <v>US9560682</v>
      </c>
      <c r="B1267" s="9" t="s">
        <v>6465</v>
      </c>
      <c r="C1267" s="9" t="s">
        <v>6466</v>
      </c>
      <c r="D1267" s="9" t="s">
        <v>48</v>
      </c>
      <c r="E1267" s="9" t="s">
        <v>49</v>
      </c>
      <c r="F1267" s="9" t="s">
        <v>6467</v>
      </c>
      <c r="G1267" s="9" t="s">
        <v>2930</v>
      </c>
      <c r="H1267" s="9" t="s">
        <v>5928</v>
      </c>
      <c r="I1267" s="9" t="s">
        <v>5928</v>
      </c>
      <c r="J1267" s="9" t="s">
        <v>1720</v>
      </c>
      <c r="K1267" s="9" t="s">
        <v>885</v>
      </c>
      <c r="L1267" s="9" t="s">
        <v>1014</v>
      </c>
      <c r="M1267" s="9">
        <v>50</v>
      </c>
      <c r="N1267" s="9">
        <v>12</v>
      </c>
      <c r="O1267" s="9" t="s">
        <v>57</v>
      </c>
      <c r="P1267" s="9" t="s">
        <v>58</v>
      </c>
      <c r="Q1267" s="9">
        <v>27</v>
      </c>
      <c r="R1267" s="9">
        <v>5</v>
      </c>
      <c r="S1267" s="9">
        <v>22</v>
      </c>
      <c r="T1267" s="9">
        <v>15</v>
      </c>
      <c r="U1267" s="9">
        <v>0</v>
      </c>
      <c r="V1267" s="9" t="s">
        <v>114</v>
      </c>
      <c r="W1267" s="9">
        <v>0</v>
      </c>
      <c r="X1267" s="9">
        <v>0</v>
      </c>
      <c r="Y1267" s="9">
        <v>0</v>
      </c>
      <c r="Z1267" s="9">
        <v>0</v>
      </c>
      <c r="AA1267" s="9">
        <v>8</v>
      </c>
      <c r="AB1267" s="9">
        <v>6</v>
      </c>
      <c r="AC1267" s="9">
        <v>14</v>
      </c>
      <c r="AD1267" s="9" t="s">
        <v>0</v>
      </c>
      <c r="AE1267" s="9" t="s">
        <v>60</v>
      </c>
    </row>
    <row r="1268" spans="1:31" ht="51" x14ac:dyDescent="0.2">
      <c r="A1268" s="6" t="str">
        <f>HYPERLINK("http://www.patentics.cn/invokexml.do?sx=showpatent_cn&amp;sf=ShowPatent&amp;spn=CN101553028&amp;sx=showpatent_cn&amp;sv=adb15e83102f2be625223f1736f5659c","CN101553028")</f>
        <v>CN101553028</v>
      </c>
      <c r="B1268" s="7" t="s">
        <v>6468</v>
      </c>
      <c r="C1268" s="7" t="s">
        <v>6469</v>
      </c>
      <c r="D1268" s="7" t="s">
        <v>5122</v>
      </c>
      <c r="E1268" s="7" t="s">
        <v>5122</v>
      </c>
      <c r="F1268" s="7" t="s">
        <v>6470</v>
      </c>
      <c r="G1268" s="7" t="s">
        <v>6471</v>
      </c>
      <c r="H1268" s="7" t="s">
        <v>6472</v>
      </c>
      <c r="I1268" s="7" t="s">
        <v>6472</v>
      </c>
      <c r="J1268" s="7" t="s">
        <v>6473</v>
      </c>
      <c r="K1268" s="7" t="s">
        <v>55</v>
      </c>
      <c r="L1268" s="7" t="s">
        <v>2940</v>
      </c>
      <c r="M1268" s="7">
        <v>1</v>
      </c>
      <c r="N1268" s="7">
        <v>51</v>
      </c>
      <c r="O1268" s="7" t="s">
        <v>42</v>
      </c>
      <c r="P1268" s="7" t="s">
        <v>43</v>
      </c>
      <c r="Q1268" s="7">
        <v>13</v>
      </c>
      <c r="R1268" s="7">
        <v>0</v>
      </c>
      <c r="S1268" s="7">
        <v>13</v>
      </c>
      <c r="T1268" s="7">
        <v>10</v>
      </c>
      <c r="U1268" s="7">
        <v>16</v>
      </c>
      <c r="V1268" s="7" t="s">
        <v>6474</v>
      </c>
      <c r="W1268" s="7">
        <v>1</v>
      </c>
      <c r="X1268" s="7">
        <v>15</v>
      </c>
      <c r="Y1268" s="7">
        <v>10</v>
      </c>
      <c r="Z1268" s="7">
        <v>2</v>
      </c>
      <c r="AA1268" s="7">
        <v>1</v>
      </c>
      <c r="AB1268" s="7">
        <v>1</v>
      </c>
      <c r="AC1268" s="7" t="s">
        <v>0</v>
      </c>
      <c r="AD1268" s="7">
        <v>1</v>
      </c>
      <c r="AE1268" s="7" t="s">
        <v>532</v>
      </c>
    </row>
    <row r="1269" spans="1:31" ht="51" x14ac:dyDescent="0.2">
      <c r="A1269" s="8" t="str">
        <f>HYPERLINK("http://www.patentics.cn/invokexml.do?sx=showpatent_cn&amp;sf=ShowPatent&amp;spn=WO2015184631&amp;sx=showpatent_cn&amp;sv=fff9a4ba5bf027d4b7f61f5b6a267640","WO2015184631")</f>
        <v>WO2015184631</v>
      </c>
      <c r="B1269" s="9" t="s">
        <v>6475</v>
      </c>
      <c r="C1269" s="9" t="s">
        <v>6476</v>
      </c>
      <c r="D1269" s="9" t="s">
        <v>117</v>
      </c>
      <c r="E1269" s="9" t="s">
        <v>49</v>
      </c>
      <c r="F1269" s="9" t="s">
        <v>6477</v>
      </c>
      <c r="G1269" s="9" t="s">
        <v>6478</v>
      </c>
      <c r="H1269" s="9" t="s">
        <v>0</v>
      </c>
      <c r="I1269" s="9" t="s">
        <v>6479</v>
      </c>
      <c r="J1269" s="9" t="s">
        <v>6480</v>
      </c>
      <c r="K1269" s="9" t="s">
        <v>55</v>
      </c>
      <c r="L1269" s="9" t="s">
        <v>2940</v>
      </c>
      <c r="M1269" s="9">
        <v>19</v>
      </c>
      <c r="N1269" s="9">
        <v>0</v>
      </c>
      <c r="O1269" s="9" t="s">
        <v>850</v>
      </c>
      <c r="P1269" s="9" t="s">
        <v>1932</v>
      </c>
      <c r="Q1269" s="9">
        <v>4</v>
      </c>
      <c r="R1269" s="9">
        <v>0</v>
      </c>
      <c r="S1269" s="9">
        <v>4</v>
      </c>
      <c r="T1269" s="9">
        <v>4</v>
      </c>
      <c r="U1269" s="9">
        <v>0</v>
      </c>
      <c r="V1269" s="9" t="s">
        <v>114</v>
      </c>
      <c r="W1269" s="9">
        <v>0</v>
      </c>
      <c r="X1269" s="9">
        <v>0</v>
      </c>
      <c r="Y1269" s="9">
        <v>0</v>
      </c>
      <c r="Z1269" s="9">
        <v>0</v>
      </c>
      <c r="AA1269" s="9">
        <v>0</v>
      </c>
      <c r="AB1269" s="9">
        <v>0</v>
      </c>
      <c r="AC1269" s="9">
        <v>14</v>
      </c>
      <c r="AD1269" s="9" t="s">
        <v>0</v>
      </c>
      <c r="AE1269" s="9" t="s">
        <v>0</v>
      </c>
    </row>
    <row r="1270" spans="1:31" ht="51" x14ac:dyDescent="0.2">
      <c r="A1270" s="6" t="str">
        <f>HYPERLINK("http://www.patentics.cn/invokexml.do?sx=showpatent_cn&amp;sf=ShowPatent&amp;spn=CN101552632&amp;sx=showpatent_cn&amp;sv=6459599c0832e3e602b5832e2ae256b9","CN101552632")</f>
        <v>CN101552632</v>
      </c>
      <c r="B1270" s="7" t="s">
        <v>6481</v>
      </c>
      <c r="C1270" s="7" t="s">
        <v>6482</v>
      </c>
      <c r="D1270" s="7" t="s">
        <v>309</v>
      </c>
      <c r="E1270" s="7" t="s">
        <v>309</v>
      </c>
      <c r="F1270" s="7" t="s">
        <v>3792</v>
      </c>
      <c r="G1270" s="7" t="s">
        <v>3793</v>
      </c>
      <c r="H1270" s="7" t="s">
        <v>0</v>
      </c>
      <c r="I1270" s="7" t="s">
        <v>6483</v>
      </c>
      <c r="J1270" s="7" t="s">
        <v>6473</v>
      </c>
      <c r="K1270" s="7" t="s">
        <v>89</v>
      </c>
      <c r="L1270" s="7" t="s">
        <v>340</v>
      </c>
      <c r="M1270" s="7">
        <v>3</v>
      </c>
      <c r="N1270" s="7">
        <v>34</v>
      </c>
      <c r="O1270" s="7" t="s">
        <v>42</v>
      </c>
      <c r="P1270" s="7" t="s">
        <v>43</v>
      </c>
      <c r="Q1270" s="7">
        <v>0</v>
      </c>
      <c r="R1270" s="7">
        <v>0</v>
      </c>
      <c r="S1270" s="7">
        <v>0</v>
      </c>
      <c r="T1270" s="7">
        <v>0</v>
      </c>
      <c r="U1270" s="7">
        <v>7</v>
      </c>
      <c r="V1270" s="7" t="s">
        <v>6484</v>
      </c>
      <c r="W1270" s="7">
        <v>2</v>
      </c>
      <c r="X1270" s="7">
        <v>5</v>
      </c>
      <c r="Y1270" s="7">
        <v>5</v>
      </c>
      <c r="Z1270" s="7">
        <v>2</v>
      </c>
      <c r="AA1270" s="7">
        <v>0</v>
      </c>
      <c r="AB1270" s="7">
        <v>0</v>
      </c>
      <c r="AC1270" s="7" t="s">
        <v>0</v>
      </c>
      <c r="AD1270" s="7">
        <v>1</v>
      </c>
      <c r="AE1270" s="7" t="s">
        <v>45</v>
      </c>
    </row>
    <row r="1271" spans="1:31" ht="38.25" x14ac:dyDescent="0.2">
      <c r="A1271" s="8" t="str">
        <f>HYPERLINK("http://www.patentics.cn/invokexml.do?sx=showpatent_cn&amp;sf=ShowPatent&amp;spn=WO2016049943&amp;sx=showpatent_cn&amp;sv=eefdc2c8711e7943479b95bc4257ffa1","WO2016049943")</f>
        <v>WO2016049943</v>
      </c>
      <c r="B1271" s="9" t="s">
        <v>2238</v>
      </c>
      <c r="C1271" s="9" t="s">
        <v>2239</v>
      </c>
      <c r="D1271" s="9" t="s">
        <v>117</v>
      </c>
      <c r="E1271" s="9" t="s">
        <v>49</v>
      </c>
      <c r="F1271" s="9" t="s">
        <v>2240</v>
      </c>
      <c r="G1271" s="9" t="s">
        <v>2241</v>
      </c>
      <c r="H1271" s="9" t="s">
        <v>0</v>
      </c>
      <c r="I1271" s="9" t="s">
        <v>2242</v>
      </c>
      <c r="J1271" s="9" t="s">
        <v>2243</v>
      </c>
      <c r="K1271" s="9" t="s">
        <v>89</v>
      </c>
      <c r="L1271" s="9" t="s">
        <v>136</v>
      </c>
      <c r="M1271" s="9">
        <v>30</v>
      </c>
      <c r="N1271" s="9">
        <v>0</v>
      </c>
      <c r="O1271" s="9" t="s">
        <v>850</v>
      </c>
      <c r="P1271" s="9" t="s">
        <v>1932</v>
      </c>
      <c r="Q1271" s="9">
        <v>4</v>
      </c>
      <c r="R1271" s="9">
        <v>0</v>
      </c>
      <c r="S1271" s="9">
        <v>4</v>
      </c>
      <c r="T1271" s="9">
        <v>4</v>
      </c>
      <c r="U1271" s="9">
        <v>0</v>
      </c>
      <c r="V1271" s="9" t="s">
        <v>114</v>
      </c>
      <c r="W1271" s="9">
        <v>0</v>
      </c>
      <c r="X1271" s="9">
        <v>0</v>
      </c>
      <c r="Y1271" s="9">
        <v>0</v>
      </c>
      <c r="Z1271" s="9">
        <v>0</v>
      </c>
      <c r="AA1271" s="9">
        <v>0</v>
      </c>
      <c r="AB1271" s="9">
        <v>0</v>
      </c>
      <c r="AC1271" s="9">
        <v>14</v>
      </c>
      <c r="AD1271" s="9" t="s">
        <v>0</v>
      </c>
      <c r="AE1271" s="9" t="s">
        <v>0</v>
      </c>
    </row>
    <row r="1272" spans="1:31" ht="25.5" x14ac:dyDescent="0.2">
      <c r="A1272" s="6" t="str">
        <f>HYPERLINK("http://www.patentics.cn/invokexml.do?sx=showpatent_cn&amp;sf=ShowPatent&amp;spn=CN201323473&amp;sx=showpatent_cn&amp;sv=05fb4aaeb71e6cb50956342db5dc5a3f","CN201323473")</f>
        <v>CN201323473</v>
      </c>
      <c r="B1272" s="7" t="s">
        <v>6485</v>
      </c>
      <c r="C1272" s="7" t="s">
        <v>6486</v>
      </c>
      <c r="D1272" s="7" t="s">
        <v>1295</v>
      </c>
      <c r="E1272" s="7" t="s">
        <v>1295</v>
      </c>
      <c r="F1272" s="7" t="s">
        <v>6487</v>
      </c>
      <c r="G1272" s="7" t="s">
        <v>6488</v>
      </c>
      <c r="H1272" s="7" t="s">
        <v>0</v>
      </c>
      <c r="I1272" s="7" t="s">
        <v>6489</v>
      </c>
      <c r="J1272" s="7" t="s">
        <v>6473</v>
      </c>
      <c r="K1272" s="7" t="s">
        <v>580</v>
      </c>
      <c r="L1272" s="7" t="s">
        <v>589</v>
      </c>
      <c r="M1272" s="7">
        <v>4</v>
      </c>
      <c r="N1272" s="7">
        <v>22</v>
      </c>
      <c r="O1272" s="7" t="s">
        <v>2185</v>
      </c>
      <c r="P1272" s="7" t="s">
        <v>43</v>
      </c>
      <c r="Q1272" s="7">
        <v>0</v>
      </c>
      <c r="R1272" s="7">
        <v>0</v>
      </c>
      <c r="S1272" s="7">
        <v>0</v>
      </c>
      <c r="T1272" s="7">
        <v>0</v>
      </c>
      <c r="U1272" s="7">
        <v>4</v>
      </c>
      <c r="V1272" s="7" t="s">
        <v>6490</v>
      </c>
      <c r="W1272" s="7">
        <v>0</v>
      </c>
      <c r="X1272" s="7">
        <v>4</v>
      </c>
      <c r="Y1272" s="7">
        <v>3</v>
      </c>
      <c r="Z1272" s="7">
        <v>3</v>
      </c>
      <c r="AA1272" s="7">
        <v>0</v>
      </c>
      <c r="AB1272" s="7">
        <v>0</v>
      </c>
      <c r="AC1272" s="7" t="s">
        <v>0</v>
      </c>
      <c r="AD1272" s="7">
        <v>1</v>
      </c>
      <c r="AE1272" s="7" t="s">
        <v>532</v>
      </c>
    </row>
    <row r="1273" spans="1:31" ht="38.25" x14ac:dyDescent="0.2">
      <c r="A1273" s="8" t="str">
        <f>HYPERLINK("http://www.patentics.cn/invokexml.do?sx=showpatent_cn&amp;sf=ShowPatent&amp;spn=EP3057220&amp;sx=showpatent_cn&amp;sv=6ac410b977276a0c78f6e95aec92c488","EP3057220")</f>
        <v>EP3057220</v>
      </c>
      <c r="B1273" s="9" t="s">
        <v>6491</v>
      </c>
      <c r="C1273" s="9" t="s">
        <v>6492</v>
      </c>
      <c r="D1273" s="9" t="s">
        <v>117</v>
      </c>
      <c r="E1273" s="9" t="s">
        <v>49</v>
      </c>
      <c r="F1273" s="9" t="s">
        <v>6493</v>
      </c>
      <c r="G1273" s="9" t="s">
        <v>6493</v>
      </c>
      <c r="H1273" s="9" t="s">
        <v>6494</v>
      </c>
      <c r="I1273" s="9" t="s">
        <v>6495</v>
      </c>
      <c r="J1273" s="9" t="s">
        <v>5112</v>
      </c>
      <c r="K1273" s="9" t="s">
        <v>3123</v>
      </c>
      <c r="L1273" s="9" t="s">
        <v>6496</v>
      </c>
      <c r="M1273" s="9">
        <v>15</v>
      </c>
      <c r="N1273" s="9">
        <v>15</v>
      </c>
      <c r="O1273" s="9" t="s">
        <v>850</v>
      </c>
      <c r="P1273" s="9" t="s">
        <v>58</v>
      </c>
      <c r="Q1273" s="9">
        <v>5</v>
      </c>
      <c r="R1273" s="9">
        <v>0</v>
      </c>
      <c r="S1273" s="9">
        <v>5</v>
      </c>
      <c r="T1273" s="9">
        <v>5</v>
      </c>
      <c r="U1273" s="9">
        <v>0</v>
      </c>
      <c r="V1273" s="9" t="s">
        <v>114</v>
      </c>
      <c r="W1273" s="9">
        <v>0</v>
      </c>
      <c r="X1273" s="9">
        <v>0</v>
      </c>
      <c r="Y1273" s="9">
        <v>0</v>
      </c>
      <c r="Z1273" s="9">
        <v>0</v>
      </c>
      <c r="AA1273" s="9">
        <v>17</v>
      </c>
      <c r="AB1273" s="9">
        <v>9</v>
      </c>
      <c r="AC1273" s="9">
        <v>14</v>
      </c>
      <c r="AD1273" s="9" t="s">
        <v>0</v>
      </c>
      <c r="AE1273" s="9" t="s">
        <v>0</v>
      </c>
    </row>
    <row r="1274" spans="1:31" ht="89.25" x14ac:dyDescent="0.2">
      <c r="A1274" s="6" t="str">
        <f>HYPERLINK("http://www.patentics.cn/invokexml.do?sx=showpatent_cn&amp;sf=ShowPatent&amp;spn=CN101540926&amp;sx=showpatent_cn&amp;sv=ae41f6e4fed33f71e77291406f0ac56c","CN101540926")</f>
        <v>CN101540926</v>
      </c>
      <c r="B1274" s="7" t="s">
        <v>6497</v>
      </c>
      <c r="C1274" s="7" t="s">
        <v>6498</v>
      </c>
      <c r="D1274" s="7" t="s">
        <v>1054</v>
      </c>
      <c r="E1274" s="7" t="s">
        <v>1054</v>
      </c>
      <c r="F1274" s="7" t="s">
        <v>6499</v>
      </c>
      <c r="G1274" s="7" t="s">
        <v>6500</v>
      </c>
      <c r="H1274" s="7" t="s">
        <v>1364</v>
      </c>
      <c r="I1274" s="7" t="s">
        <v>1364</v>
      </c>
      <c r="J1274" s="7" t="s">
        <v>6501</v>
      </c>
      <c r="K1274" s="7" t="s">
        <v>714</v>
      </c>
      <c r="L1274" s="7" t="s">
        <v>3448</v>
      </c>
      <c r="M1274" s="7">
        <v>7</v>
      </c>
      <c r="N1274" s="7">
        <v>43</v>
      </c>
      <c r="O1274" s="7" t="s">
        <v>42</v>
      </c>
      <c r="P1274" s="7" t="s">
        <v>43</v>
      </c>
      <c r="Q1274" s="7">
        <v>0</v>
      </c>
      <c r="R1274" s="7">
        <v>0</v>
      </c>
      <c r="S1274" s="7">
        <v>0</v>
      </c>
      <c r="T1274" s="7">
        <v>0</v>
      </c>
      <c r="U1274" s="7">
        <v>12</v>
      </c>
      <c r="V1274" s="7" t="s">
        <v>6502</v>
      </c>
      <c r="W1274" s="7">
        <v>0</v>
      </c>
      <c r="X1274" s="7">
        <v>12</v>
      </c>
      <c r="Y1274" s="7">
        <v>7</v>
      </c>
      <c r="Z1274" s="7">
        <v>3</v>
      </c>
      <c r="AA1274" s="7">
        <v>1</v>
      </c>
      <c r="AB1274" s="7">
        <v>1</v>
      </c>
      <c r="AC1274" s="7" t="s">
        <v>0</v>
      </c>
      <c r="AD1274" s="7">
        <v>1</v>
      </c>
      <c r="AE1274" s="7" t="s">
        <v>532</v>
      </c>
    </row>
    <row r="1275" spans="1:31" ht="51" x14ac:dyDescent="0.2">
      <c r="A1275" s="8" t="str">
        <f>HYPERLINK("http://www.patentics.cn/invokexml.do?sx=showpatent_cn&amp;sf=ShowPatent&amp;spn=WO2015006884&amp;sx=showpatent_cn&amp;sv=0f89257f850d346efd754c876df5bd70","WO2015006884")</f>
        <v>WO2015006884</v>
      </c>
      <c r="B1275" s="9" t="s">
        <v>6114</v>
      </c>
      <c r="C1275" s="9" t="s">
        <v>6115</v>
      </c>
      <c r="D1275" s="9" t="s">
        <v>117</v>
      </c>
      <c r="E1275" s="9" t="s">
        <v>49</v>
      </c>
      <c r="F1275" s="9" t="s">
        <v>6116</v>
      </c>
      <c r="G1275" s="9" t="s">
        <v>6117</v>
      </c>
      <c r="H1275" s="9" t="s">
        <v>0</v>
      </c>
      <c r="I1275" s="9" t="s">
        <v>6118</v>
      </c>
      <c r="J1275" s="9" t="s">
        <v>6119</v>
      </c>
      <c r="K1275" s="9" t="s">
        <v>714</v>
      </c>
      <c r="L1275" s="9" t="s">
        <v>6120</v>
      </c>
      <c r="M1275" s="9">
        <v>156</v>
      </c>
      <c r="N1275" s="9">
        <v>15</v>
      </c>
      <c r="O1275" s="9" t="s">
        <v>850</v>
      </c>
      <c r="P1275" s="9" t="s">
        <v>1932</v>
      </c>
      <c r="Q1275" s="9">
        <v>5</v>
      </c>
      <c r="R1275" s="9">
        <v>1</v>
      </c>
      <c r="S1275" s="9">
        <v>4</v>
      </c>
      <c r="T1275" s="9">
        <v>4</v>
      </c>
      <c r="U1275" s="9">
        <v>1</v>
      </c>
      <c r="V1275" s="9" t="s">
        <v>484</v>
      </c>
      <c r="W1275" s="9">
        <v>1</v>
      </c>
      <c r="X1275" s="9">
        <v>0</v>
      </c>
      <c r="Y1275" s="9">
        <v>1</v>
      </c>
      <c r="Z1275" s="9">
        <v>1</v>
      </c>
      <c r="AA1275" s="9">
        <v>0</v>
      </c>
      <c r="AB1275" s="9">
        <v>0</v>
      </c>
      <c r="AC1275" s="9">
        <v>14</v>
      </c>
      <c r="AD1275" s="9" t="s">
        <v>0</v>
      </c>
      <c r="AE1275" s="9" t="s">
        <v>0</v>
      </c>
    </row>
    <row r="1276" spans="1:31" ht="38.25" x14ac:dyDescent="0.2">
      <c r="A1276" s="6" t="str">
        <f>HYPERLINK("http://www.patentics.cn/invokexml.do?sx=showpatent_cn&amp;sf=ShowPatent&amp;spn=CN101536035&amp;sx=showpatent_cn&amp;sv=7b0bebd4136b81455eebc7207c063810","CN101536035")</f>
        <v>CN101536035</v>
      </c>
      <c r="B1276" s="7" t="s">
        <v>6503</v>
      </c>
      <c r="C1276" s="7" t="s">
        <v>6504</v>
      </c>
      <c r="D1276" s="7" t="s">
        <v>6505</v>
      </c>
      <c r="E1276" s="7" t="s">
        <v>6505</v>
      </c>
      <c r="F1276" s="7" t="s">
        <v>6506</v>
      </c>
      <c r="G1276" s="7" t="s">
        <v>6507</v>
      </c>
      <c r="H1276" s="7" t="s">
        <v>6508</v>
      </c>
      <c r="I1276" s="7" t="s">
        <v>6509</v>
      </c>
      <c r="J1276" s="7" t="s">
        <v>6510</v>
      </c>
      <c r="K1276" s="7" t="s">
        <v>2163</v>
      </c>
      <c r="L1276" s="7" t="s">
        <v>3162</v>
      </c>
      <c r="M1276" s="7">
        <v>14</v>
      </c>
      <c r="N1276" s="7">
        <v>14</v>
      </c>
      <c r="O1276" s="7" t="s">
        <v>42</v>
      </c>
      <c r="P1276" s="7" t="s">
        <v>2681</v>
      </c>
      <c r="Q1276" s="7">
        <v>1</v>
      </c>
      <c r="R1276" s="7">
        <v>1</v>
      </c>
      <c r="S1276" s="7">
        <v>0</v>
      </c>
      <c r="T1276" s="7">
        <v>1</v>
      </c>
      <c r="U1276" s="7">
        <v>6</v>
      </c>
      <c r="V1276" s="7" t="s">
        <v>6511</v>
      </c>
      <c r="W1276" s="7">
        <v>0</v>
      </c>
      <c r="X1276" s="7">
        <v>6</v>
      </c>
      <c r="Y1276" s="7">
        <v>4</v>
      </c>
      <c r="Z1276" s="7">
        <v>2</v>
      </c>
      <c r="AA1276" s="7">
        <v>8</v>
      </c>
      <c r="AB1276" s="7">
        <v>6</v>
      </c>
      <c r="AC1276" s="7" t="s">
        <v>0</v>
      </c>
      <c r="AD1276" s="7">
        <v>1</v>
      </c>
      <c r="AE1276" s="7" t="s">
        <v>532</v>
      </c>
    </row>
    <row r="1277" spans="1:31" ht="127.5" x14ac:dyDescent="0.2">
      <c r="A1277" s="8" t="str">
        <f>HYPERLINK("http://www.patentics.cn/invokexml.do?sx=showpatent_cn&amp;sf=ShowPatent&amp;spn=US9530073&amp;sx=showpatent_cn&amp;sv=daf98876e47162aeb2b3584f0bd1e65d","US9530073")</f>
        <v>US9530073</v>
      </c>
      <c r="B1277" s="9" t="s">
        <v>6512</v>
      </c>
      <c r="C1277" s="9" t="s">
        <v>6513</v>
      </c>
      <c r="D1277" s="9" t="s">
        <v>48</v>
      </c>
      <c r="E1277" s="9" t="s">
        <v>49</v>
      </c>
      <c r="F1277" s="9" t="s">
        <v>6514</v>
      </c>
      <c r="G1277" s="9" t="s">
        <v>6515</v>
      </c>
      <c r="H1277" s="9" t="s">
        <v>630</v>
      </c>
      <c r="I1277" s="9" t="s">
        <v>1952</v>
      </c>
      <c r="J1277" s="9" t="s">
        <v>3245</v>
      </c>
      <c r="K1277" s="9" t="s">
        <v>529</v>
      </c>
      <c r="L1277" s="9" t="s">
        <v>1432</v>
      </c>
      <c r="M1277" s="9">
        <v>37</v>
      </c>
      <c r="N1277" s="9">
        <v>9</v>
      </c>
      <c r="O1277" s="9" t="s">
        <v>57</v>
      </c>
      <c r="P1277" s="9" t="s">
        <v>58</v>
      </c>
      <c r="Q1277" s="9">
        <v>30</v>
      </c>
      <c r="R1277" s="9">
        <v>4</v>
      </c>
      <c r="S1277" s="9">
        <v>26</v>
      </c>
      <c r="T1277" s="9">
        <v>17</v>
      </c>
      <c r="U1277" s="9">
        <v>0</v>
      </c>
      <c r="V1277" s="9" t="s">
        <v>114</v>
      </c>
      <c r="W1277" s="9">
        <v>0</v>
      </c>
      <c r="X1277" s="9">
        <v>0</v>
      </c>
      <c r="Y1277" s="9">
        <v>0</v>
      </c>
      <c r="Z1277" s="9">
        <v>0</v>
      </c>
      <c r="AA1277" s="9">
        <v>9</v>
      </c>
      <c r="AB1277" s="9">
        <v>6</v>
      </c>
      <c r="AC1277" s="9">
        <v>14</v>
      </c>
      <c r="AD1277" s="9" t="s">
        <v>0</v>
      </c>
      <c r="AE1277" s="9" t="s">
        <v>60</v>
      </c>
    </row>
    <row r="1278" spans="1:31" ht="89.25" x14ac:dyDescent="0.2">
      <c r="A1278" s="6" t="str">
        <f>HYPERLINK("http://www.patentics.cn/invokexml.do?sx=showpatent_cn&amp;sf=ShowPatent&amp;spn=CN101514899&amp;sx=showpatent_cn&amp;sv=46d503d9b48a4d3c4ad805573bd58f23","CN101514899")</f>
        <v>CN101514899</v>
      </c>
      <c r="B1278" s="7" t="s">
        <v>6516</v>
      </c>
      <c r="C1278" s="7" t="s">
        <v>6517</v>
      </c>
      <c r="D1278" s="7" t="s">
        <v>5128</v>
      </c>
      <c r="E1278" s="7" t="s">
        <v>2320</v>
      </c>
      <c r="F1278" s="7" t="s">
        <v>6518</v>
      </c>
      <c r="G1278" s="7" t="s">
        <v>6519</v>
      </c>
      <c r="H1278" s="7" t="s">
        <v>6520</v>
      </c>
      <c r="I1278" s="7" t="s">
        <v>6520</v>
      </c>
      <c r="J1278" s="7" t="s">
        <v>3794</v>
      </c>
      <c r="K1278" s="7" t="s">
        <v>937</v>
      </c>
      <c r="L1278" s="7" t="s">
        <v>6521</v>
      </c>
      <c r="M1278" s="7">
        <v>3</v>
      </c>
      <c r="N1278" s="7">
        <v>85</v>
      </c>
      <c r="O1278" s="7" t="s">
        <v>42</v>
      </c>
      <c r="P1278" s="7" t="s">
        <v>43</v>
      </c>
      <c r="Q1278" s="7">
        <v>0</v>
      </c>
      <c r="R1278" s="7">
        <v>0</v>
      </c>
      <c r="S1278" s="7">
        <v>0</v>
      </c>
      <c r="T1278" s="7">
        <v>0</v>
      </c>
      <c r="U1278" s="7">
        <v>27</v>
      </c>
      <c r="V1278" s="7" t="s">
        <v>6522</v>
      </c>
      <c r="W1278" s="7">
        <v>16</v>
      </c>
      <c r="X1278" s="7">
        <v>11</v>
      </c>
      <c r="Y1278" s="7">
        <v>7</v>
      </c>
      <c r="Z1278" s="7">
        <v>2</v>
      </c>
      <c r="AA1278" s="7">
        <v>1</v>
      </c>
      <c r="AB1278" s="7">
        <v>1</v>
      </c>
      <c r="AC1278" s="7" t="s">
        <v>0</v>
      </c>
      <c r="AD1278" s="7">
        <v>1</v>
      </c>
      <c r="AE1278" s="7" t="s">
        <v>60</v>
      </c>
    </row>
    <row r="1279" spans="1:31" ht="140.25" x14ac:dyDescent="0.2">
      <c r="A1279" s="8" t="str">
        <f>HYPERLINK("http://www.patentics.cn/invokexml.do?sx=showpatent_cn&amp;sf=ShowPatent&amp;spn=US9714955&amp;sx=showpatent_cn&amp;sv=211ab022230fc9f84899dbad2d4f630f","US9714955")</f>
        <v>US9714955</v>
      </c>
      <c r="B1279" s="9" t="s">
        <v>6523</v>
      </c>
      <c r="C1279" s="9" t="s">
        <v>6524</v>
      </c>
      <c r="D1279" s="9" t="s">
        <v>48</v>
      </c>
      <c r="E1279" s="9" t="s">
        <v>49</v>
      </c>
      <c r="F1279" s="9" t="s">
        <v>6525</v>
      </c>
      <c r="G1279" s="9" t="s">
        <v>6526</v>
      </c>
      <c r="H1279" s="9" t="s">
        <v>6275</v>
      </c>
      <c r="I1279" s="9" t="s">
        <v>1657</v>
      </c>
      <c r="J1279" s="9" t="s">
        <v>6527</v>
      </c>
      <c r="K1279" s="9" t="s">
        <v>1200</v>
      </c>
      <c r="L1279" s="9" t="s">
        <v>6528</v>
      </c>
      <c r="M1279" s="9">
        <v>15</v>
      </c>
      <c r="N1279" s="9">
        <v>19</v>
      </c>
      <c r="O1279" s="9" t="s">
        <v>57</v>
      </c>
      <c r="P1279" s="9" t="s">
        <v>58</v>
      </c>
      <c r="Q1279" s="9">
        <v>21</v>
      </c>
      <c r="R1279" s="9">
        <v>0</v>
      </c>
      <c r="S1279" s="9">
        <v>21</v>
      </c>
      <c r="T1279" s="9">
        <v>17</v>
      </c>
      <c r="U1279" s="9">
        <v>0</v>
      </c>
      <c r="V1279" s="9" t="s">
        <v>114</v>
      </c>
      <c r="W1279" s="9">
        <v>0</v>
      </c>
      <c r="X1279" s="9">
        <v>0</v>
      </c>
      <c r="Y1279" s="9">
        <v>0</v>
      </c>
      <c r="Z1279" s="9">
        <v>0</v>
      </c>
      <c r="AA1279" s="9">
        <v>7</v>
      </c>
      <c r="AB1279" s="9">
        <v>5</v>
      </c>
      <c r="AC1279" s="9">
        <v>14</v>
      </c>
      <c r="AD1279" s="9" t="s">
        <v>0</v>
      </c>
      <c r="AE1279" s="9" t="s">
        <v>60</v>
      </c>
    </row>
    <row r="1280" spans="1:31" ht="63.75" x14ac:dyDescent="0.2">
      <c r="A1280" s="6" t="str">
        <f>HYPERLINK("http://www.patentics.cn/invokexml.do?sx=showpatent_cn&amp;sf=ShowPatent&amp;spn=CN101511017&amp;sx=showpatent_cn&amp;sv=3074322cb2a8e1e479ff4dc4bfb8b9d7","CN101511017")</f>
        <v>CN101511017</v>
      </c>
      <c r="B1280" s="7" t="s">
        <v>6529</v>
      </c>
      <c r="C1280" s="7" t="s">
        <v>6530</v>
      </c>
      <c r="D1280" s="7" t="s">
        <v>1420</v>
      </c>
      <c r="E1280" s="7" t="s">
        <v>1420</v>
      </c>
      <c r="F1280" s="7" t="s">
        <v>6531</v>
      </c>
      <c r="G1280" s="7" t="s">
        <v>6532</v>
      </c>
      <c r="H1280" s="7" t="s">
        <v>6533</v>
      </c>
      <c r="I1280" s="7" t="s">
        <v>6533</v>
      </c>
      <c r="J1280" s="7" t="s">
        <v>6534</v>
      </c>
      <c r="K1280" s="7" t="s">
        <v>714</v>
      </c>
      <c r="L1280" s="7" t="s">
        <v>1346</v>
      </c>
      <c r="M1280" s="7">
        <v>6</v>
      </c>
      <c r="N1280" s="7">
        <v>25</v>
      </c>
      <c r="O1280" s="7" t="s">
        <v>42</v>
      </c>
      <c r="P1280" s="7" t="s">
        <v>43</v>
      </c>
      <c r="Q1280" s="7">
        <v>0</v>
      </c>
      <c r="R1280" s="7">
        <v>0</v>
      </c>
      <c r="S1280" s="7">
        <v>0</v>
      </c>
      <c r="T1280" s="7">
        <v>0</v>
      </c>
      <c r="U1280" s="7">
        <v>16</v>
      </c>
      <c r="V1280" s="7" t="s">
        <v>6535</v>
      </c>
      <c r="W1280" s="7">
        <v>0</v>
      </c>
      <c r="X1280" s="7">
        <v>16</v>
      </c>
      <c r="Y1280" s="7">
        <v>8</v>
      </c>
      <c r="Z1280" s="7">
        <v>3</v>
      </c>
      <c r="AA1280" s="7">
        <v>1</v>
      </c>
      <c r="AB1280" s="7">
        <v>1</v>
      </c>
      <c r="AC1280" s="7" t="s">
        <v>0</v>
      </c>
      <c r="AD1280" s="7">
        <v>1</v>
      </c>
      <c r="AE1280" s="7" t="s">
        <v>532</v>
      </c>
    </row>
    <row r="1281" spans="1:31" ht="51" x14ac:dyDescent="0.2">
      <c r="A1281" s="8" t="str">
        <f>HYPERLINK("http://www.patentics.cn/invokexml.do?sx=showpatent_cn&amp;sf=ShowPatent&amp;spn=WO2015168838&amp;sx=showpatent_cn&amp;sv=32372181572616a0cf872a777920e6e0","WO2015168838")</f>
        <v>WO2015168838</v>
      </c>
      <c r="B1281" s="9" t="s">
        <v>6536</v>
      </c>
      <c r="C1281" s="9" t="s">
        <v>6537</v>
      </c>
      <c r="D1281" s="9" t="s">
        <v>117</v>
      </c>
      <c r="E1281" s="9" t="s">
        <v>49</v>
      </c>
      <c r="F1281" s="9" t="s">
        <v>6028</v>
      </c>
      <c r="G1281" s="9" t="s">
        <v>3445</v>
      </c>
      <c r="H1281" s="9" t="s">
        <v>0</v>
      </c>
      <c r="I1281" s="9" t="s">
        <v>5079</v>
      </c>
      <c r="J1281" s="9" t="s">
        <v>6538</v>
      </c>
      <c r="K1281" s="9" t="s">
        <v>714</v>
      </c>
      <c r="L1281" s="9" t="s">
        <v>6539</v>
      </c>
      <c r="M1281" s="9">
        <v>32</v>
      </c>
      <c r="N1281" s="9">
        <v>10</v>
      </c>
      <c r="O1281" s="9" t="s">
        <v>850</v>
      </c>
      <c r="P1281" s="9" t="s">
        <v>1932</v>
      </c>
      <c r="Q1281" s="9">
        <v>4</v>
      </c>
      <c r="R1281" s="9">
        <v>1</v>
      </c>
      <c r="S1281" s="9">
        <v>3</v>
      </c>
      <c r="T1281" s="9">
        <v>4</v>
      </c>
      <c r="U1281" s="9">
        <v>0</v>
      </c>
      <c r="V1281" s="9" t="s">
        <v>114</v>
      </c>
      <c r="W1281" s="9">
        <v>0</v>
      </c>
      <c r="X1281" s="9">
        <v>0</v>
      </c>
      <c r="Y1281" s="9">
        <v>0</v>
      </c>
      <c r="Z1281" s="9">
        <v>0</v>
      </c>
      <c r="AA1281" s="9">
        <v>0</v>
      </c>
      <c r="AB1281" s="9">
        <v>0</v>
      </c>
      <c r="AC1281" s="9">
        <v>14</v>
      </c>
      <c r="AD1281" s="9" t="s">
        <v>0</v>
      </c>
      <c r="AE1281" s="9" t="s">
        <v>0</v>
      </c>
    </row>
    <row r="1282" spans="1:31" ht="63.75" x14ac:dyDescent="0.2">
      <c r="A1282" s="6" t="str">
        <f>HYPERLINK("http://www.patentics.cn/invokexml.do?sx=showpatent_cn&amp;sf=ShowPatent&amp;spn=CN101510799&amp;sx=showpatent_cn&amp;sv=65d0a2c2287eb9d97d3d698455bc9ddb","CN101510799")</f>
        <v>CN101510799</v>
      </c>
      <c r="B1282" s="7" t="s">
        <v>6540</v>
      </c>
      <c r="C1282" s="7" t="s">
        <v>6541</v>
      </c>
      <c r="D1282" s="7" t="s">
        <v>6542</v>
      </c>
      <c r="E1282" s="7" t="s">
        <v>6543</v>
      </c>
      <c r="F1282" s="7" t="s">
        <v>6544</v>
      </c>
      <c r="G1282" s="7" t="s">
        <v>6545</v>
      </c>
      <c r="H1282" s="7" t="s">
        <v>6422</v>
      </c>
      <c r="I1282" s="7" t="s">
        <v>6546</v>
      </c>
      <c r="J1282" s="7" t="s">
        <v>6534</v>
      </c>
      <c r="K1282" s="7" t="s">
        <v>89</v>
      </c>
      <c r="L1282" s="7" t="s">
        <v>294</v>
      </c>
      <c r="M1282" s="7">
        <v>10</v>
      </c>
      <c r="N1282" s="7">
        <v>17</v>
      </c>
      <c r="O1282" s="7" t="s">
        <v>42</v>
      </c>
      <c r="P1282" s="7" t="s">
        <v>2681</v>
      </c>
      <c r="Q1282" s="7">
        <v>0</v>
      </c>
      <c r="R1282" s="7">
        <v>0</v>
      </c>
      <c r="S1282" s="7">
        <v>0</v>
      </c>
      <c r="T1282" s="7">
        <v>0</v>
      </c>
      <c r="U1282" s="7">
        <v>1</v>
      </c>
      <c r="V1282" s="7" t="s">
        <v>1591</v>
      </c>
      <c r="W1282" s="7">
        <v>0</v>
      </c>
      <c r="X1282" s="7">
        <v>1</v>
      </c>
      <c r="Y1282" s="7">
        <v>1</v>
      </c>
      <c r="Z1282" s="7">
        <v>1</v>
      </c>
      <c r="AA1282" s="7">
        <v>8</v>
      </c>
      <c r="AB1282" s="7">
        <v>4</v>
      </c>
      <c r="AC1282" s="7" t="s">
        <v>0</v>
      </c>
      <c r="AD1282" s="7">
        <v>1</v>
      </c>
      <c r="AE1282" s="7" t="s">
        <v>532</v>
      </c>
    </row>
    <row r="1283" spans="1:31" ht="25.5" x14ac:dyDescent="0.2">
      <c r="A1283" s="8" t="str">
        <f>HYPERLINK("http://www.patentics.cn/invokexml.do?sx=showpatent_cn&amp;sf=ShowPatent&amp;spn=CN102870344&amp;sx=showpatent_cn&amp;sv=ef7a144132e3fe7d5e7d26cecf93a484","CN102870344")</f>
        <v>CN102870344</v>
      </c>
      <c r="B1283" s="9" t="s">
        <v>6547</v>
      </c>
      <c r="C1283" s="9" t="s">
        <v>6548</v>
      </c>
      <c r="D1283" s="9" t="s">
        <v>301</v>
      </c>
      <c r="E1283" s="9" t="s">
        <v>301</v>
      </c>
      <c r="F1283" s="9" t="s">
        <v>6549</v>
      </c>
      <c r="G1283" s="9" t="s">
        <v>6550</v>
      </c>
      <c r="H1283" s="9" t="s">
        <v>2873</v>
      </c>
      <c r="I1283" s="9" t="s">
        <v>5888</v>
      </c>
      <c r="J1283" s="9" t="s">
        <v>5320</v>
      </c>
      <c r="K1283" s="9" t="s">
        <v>89</v>
      </c>
      <c r="L1283" s="9" t="s">
        <v>340</v>
      </c>
      <c r="M1283" s="9">
        <v>36</v>
      </c>
      <c r="N1283" s="9">
        <v>13</v>
      </c>
      <c r="O1283" s="9" t="s">
        <v>42</v>
      </c>
      <c r="P1283" s="9" t="s">
        <v>58</v>
      </c>
      <c r="Q1283" s="9">
        <v>4</v>
      </c>
      <c r="R1283" s="9">
        <v>0</v>
      </c>
      <c r="S1283" s="9">
        <v>4</v>
      </c>
      <c r="T1283" s="9">
        <v>3</v>
      </c>
      <c r="U1283" s="9">
        <v>4</v>
      </c>
      <c r="V1283" s="9" t="s">
        <v>6551</v>
      </c>
      <c r="W1283" s="9">
        <v>1</v>
      </c>
      <c r="X1283" s="9">
        <v>3</v>
      </c>
      <c r="Y1283" s="9">
        <v>4</v>
      </c>
      <c r="Z1283" s="9">
        <v>2</v>
      </c>
      <c r="AA1283" s="9">
        <v>8</v>
      </c>
      <c r="AB1283" s="9">
        <v>6</v>
      </c>
      <c r="AC1283" s="9">
        <v>14</v>
      </c>
      <c r="AD1283" s="9" t="s">
        <v>0</v>
      </c>
      <c r="AE1283" s="9" t="s">
        <v>60</v>
      </c>
    </row>
    <row r="1284" spans="1:31" ht="63.75" x14ac:dyDescent="0.2">
      <c r="A1284" s="6" t="str">
        <f>HYPERLINK("http://www.patentics.cn/invokexml.do?sx=showpatent_cn&amp;sf=ShowPatent&amp;spn=CN101498845&amp;sx=showpatent_cn&amp;sv=a9dc752ec5f9ae617a71ef8a7983304b","CN101498845")</f>
        <v>CN101498845</v>
      </c>
      <c r="B1284" s="7" t="s">
        <v>6552</v>
      </c>
      <c r="C1284" s="7" t="s">
        <v>6553</v>
      </c>
      <c r="D1284" s="7" t="s">
        <v>6554</v>
      </c>
      <c r="E1284" s="7" t="s">
        <v>6554</v>
      </c>
      <c r="F1284" s="7" t="s">
        <v>6555</v>
      </c>
      <c r="G1284" s="7" t="s">
        <v>6556</v>
      </c>
      <c r="H1284" s="7" t="s">
        <v>1485</v>
      </c>
      <c r="I1284" s="7" t="s">
        <v>1485</v>
      </c>
      <c r="J1284" s="7" t="s">
        <v>4434</v>
      </c>
      <c r="K1284" s="7" t="s">
        <v>6557</v>
      </c>
      <c r="L1284" s="7" t="s">
        <v>6558</v>
      </c>
      <c r="M1284" s="7">
        <v>4</v>
      </c>
      <c r="N1284" s="7">
        <v>34</v>
      </c>
      <c r="O1284" s="7" t="s">
        <v>42</v>
      </c>
      <c r="P1284" s="7" t="s">
        <v>43</v>
      </c>
      <c r="Q1284" s="7">
        <v>0</v>
      </c>
      <c r="R1284" s="7">
        <v>0</v>
      </c>
      <c r="S1284" s="7">
        <v>0</v>
      </c>
      <c r="T1284" s="7">
        <v>0</v>
      </c>
      <c r="U1284" s="7">
        <v>8</v>
      </c>
      <c r="V1284" s="7" t="s">
        <v>6559</v>
      </c>
      <c r="W1284" s="7">
        <v>0</v>
      </c>
      <c r="X1284" s="7">
        <v>8</v>
      </c>
      <c r="Y1284" s="7">
        <v>6</v>
      </c>
      <c r="Z1284" s="7">
        <v>2</v>
      </c>
      <c r="AA1284" s="7">
        <v>1</v>
      </c>
      <c r="AB1284" s="7">
        <v>1</v>
      </c>
      <c r="AC1284" s="7" t="s">
        <v>0</v>
      </c>
      <c r="AD1284" s="7">
        <v>1</v>
      </c>
      <c r="AE1284" s="7" t="s">
        <v>532</v>
      </c>
    </row>
    <row r="1285" spans="1:31" ht="25.5" x14ac:dyDescent="0.2">
      <c r="A1285" s="8" t="str">
        <f>HYPERLINK("http://www.patentics.cn/invokexml.do?sx=showpatent_cn&amp;sf=ShowPatent&amp;spn=CN103314275B&amp;sx=showpatent_cn&amp;sv=2dedb2ed543822a5289189d7f162ed38","CN103314275B")</f>
        <v>CN103314275B</v>
      </c>
      <c r="B1285" s="9" t="s">
        <v>6560</v>
      </c>
      <c r="C1285" s="9" t="s">
        <v>6561</v>
      </c>
      <c r="D1285" s="9" t="s">
        <v>301</v>
      </c>
      <c r="E1285" s="9" t="s">
        <v>301</v>
      </c>
      <c r="F1285" s="9" t="s">
        <v>6562</v>
      </c>
      <c r="G1285" s="9" t="s">
        <v>6563</v>
      </c>
      <c r="H1285" s="9" t="s">
        <v>6362</v>
      </c>
      <c r="I1285" s="9" t="s">
        <v>1673</v>
      </c>
      <c r="J1285" s="9" t="s">
        <v>5868</v>
      </c>
      <c r="K1285" s="9" t="s">
        <v>937</v>
      </c>
      <c r="L1285" s="9" t="s">
        <v>6432</v>
      </c>
      <c r="M1285" s="9">
        <v>24</v>
      </c>
      <c r="N1285" s="9">
        <v>18</v>
      </c>
      <c r="O1285" s="9" t="s">
        <v>57</v>
      </c>
      <c r="P1285" s="9" t="s">
        <v>58</v>
      </c>
      <c r="Q1285" s="9">
        <v>4</v>
      </c>
      <c r="R1285" s="9">
        <v>0</v>
      </c>
      <c r="S1285" s="9">
        <v>4</v>
      </c>
      <c r="T1285" s="9">
        <v>4</v>
      </c>
      <c r="U1285" s="9">
        <v>0</v>
      </c>
      <c r="V1285" s="9" t="s">
        <v>114</v>
      </c>
      <c r="W1285" s="9">
        <v>0</v>
      </c>
      <c r="X1285" s="9">
        <v>0</v>
      </c>
      <c r="Y1285" s="9">
        <v>0</v>
      </c>
      <c r="Z1285" s="9">
        <v>0</v>
      </c>
      <c r="AA1285" s="9">
        <v>9</v>
      </c>
      <c r="AB1285" s="9">
        <v>6</v>
      </c>
      <c r="AC1285" s="9">
        <v>14</v>
      </c>
      <c r="AD1285" s="9" t="s">
        <v>0</v>
      </c>
      <c r="AE1285" s="9" t="s">
        <v>60</v>
      </c>
    </row>
    <row r="1286" spans="1:31" ht="38.25" x14ac:dyDescent="0.2">
      <c r="A1286" s="6" t="str">
        <f>HYPERLINK("http://www.patentics.cn/invokexml.do?sx=showpatent_cn&amp;sf=ShowPatent&amp;spn=CN101442847&amp;sx=showpatent_cn&amp;sv=9361f9d551e52258dfe9ea38760fba68","CN101442847")</f>
        <v>CN101442847</v>
      </c>
      <c r="B1286" s="7" t="s">
        <v>6564</v>
      </c>
      <c r="C1286" s="7" t="s">
        <v>6565</v>
      </c>
      <c r="D1286" s="7" t="s">
        <v>6566</v>
      </c>
      <c r="E1286" s="7" t="s">
        <v>6566</v>
      </c>
      <c r="F1286" s="7" t="s">
        <v>6567</v>
      </c>
      <c r="G1286" s="7" t="s">
        <v>6568</v>
      </c>
      <c r="H1286" s="7" t="s">
        <v>6569</v>
      </c>
      <c r="I1286" s="7" t="s">
        <v>6569</v>
      </c>
      <c r="J1286" s="7" t="s">
        <v>6570</v>
      </c>
      <c r="K1286" s="7" t="s">
        <v>2119</v>
      </c>
      <c r="L1286" s="7" t="s">
        <v>6571</v>
      </c>
      <c r="M1286" s="7">
        <v>9</v>
      </c>
      <c r="N1286" s="7">
        <v>17</v>
      </c>
      <c r="O1286" s="7" t="s">
        <v>42</v>
      </c>
      <c r="P1286" s="7" t="s">
        <v>43</v>
      </c>
      <c r="Q1286" s="7">
        <v>0</v>
      </c>
      <c r="R1286" s="7">
        <v>0</v>
      </c>
      <c r="S1286" s="7">
        <v>0</v>
      </c>
      <c r="T1286" s="7">
        <v>0</v>
      </c>
      <c r="U1286" s="7">
        <v>3</v>
      </c>
      <c r="V1286" s="7" t="s">
        <v>6572</v>
      </c>
      <c r="W1286" s="7">
        <v>0</v>
      </c>
      <c r="X1286" s="7">
        <v>3</v>
      </c>
      <c r="Y1286" s="7">
        <v>2</v>
      </c>
      <c r="Z1286" s="7">
        <v>2</v>
      </c>
      <c r="AA1286" s="7">
        <v>1</v>
      </c>
      <c r="AB1286" s="7">
        <v>1</v>
      </c>
      <c r="AC1286" s="7" t="s">
        <v>0</v>
      </c>
      <c r="AD1286" s="7">
        <v>1</v>
      </c>
      <c r="AE1286" s="7" t="s">
        <v>532</v>
      </c>
    </row>
    <row r="1287" spans="1:31" ht="51" x14ac:dyDescent="0.2">
      <c r="A1287" s="8" t="str">
        <f>HYPERLINK("http://www.patentics.cn/invokexml.do?sx=showpatent_cn&amp;sf=ShowPatent&amp;spn=US9673872&amp;sx=showpatent_cn&amp;sv=b6b8534bb1989da12e2f164851147c6c","US9673872")</f>
        <v>US9673872</v>
      </c>
      <c r="B1287" s="9" t="s">
        <v>6221</v>
      </c>
      <c r="C1287" s="9" t="s">
        <v>6222</v>
      </c>
      <c r="D1287" s="9" t="s">
        <v>48</v>
      </c>
      <c r="E1287" s="9" t="s">
        <v>49</v>
      </c>
      <c r="F1287" s="9" t="s">
        <v>6223</v>
      </c>
      <c r="G1287" s="9" t="s">
        <v>6224</v>
      </c>
      <c r="H1287" s="9" t="s">
        <v>6225</v>
      </c>
      <c r="I1287" s="9" t="s">
        <v>6226</v>
      </c>
      <c r="J1287" s="9" t="s">
        <v>3404</v>
      </c>
      <c r="K1287" s="9" t="s">
        <v>540</v>
      </c>
      <c r="L1287" s="9" t="s">
        <v>563</v>
      </c>
      <c r="M1287" s="9">
        <v>19</v>
      </c>
      <c r="N1287" s="9">
        <v>16</v>
      </c>
      <c r="O1287" s="9" t="s">
        <v>57</v>
      </c>
      <c r="P1287" s="9" t="s">
        <v>58</v>
      </c>
      <c r="Q1287" s="9">
        <v>24</v>
      </c>
      <c r="R1287" s="9">
        <v>3</v>
      </c>
      <c r="S1287" s="9">
        <v>21</v>
      </c>
      <c r="T1287" s="9">
        <v>18</v>
      </c>
      <c r="U1287" s="9">
        <v>0</v>
      </c>
      <c r="V1287" s="9" t="s">
        <v>114</v>
      </c>
      <c r="W1287" s="9">
        <v>0</v>
      </c>
      <c r="X1287" s="9">
        <v>0</v>
      </c>
      <c r="Y1287" s="9">
        <v>0</v>
      </c>
      <c r="Z1287" s="9">
        <v>0</v>
      </c>
      <c r="AA1287" s="9">
        <v>8</v>
      </c>
      <c r="AB1287" s="9">
        <v>7</v>
      </c>
      <c r="AC1287" s="9">
        <v>14</v>
      </c>
      <c r="AD1287" s="9" t="s">
        <v>0</v>
      </c>
      <c r="AE1287" s="9" t="s">
        <v>60</v>
      </c>
    </row>
    <row r="1288" spans="1:31" ht="51" x14ac:dyDescent="0.2">
      <c r="A1288" s="6" t="str">
        <f>HYPERLINK("http://www.patentics.cn/invokexml.do?sx=showpatent_cn&amp;sf=ShowPatent&amp;spn=CN101431811&amp;sx=showpatent_cn&amp;sv=e2088aa990e54876843321b42fa85880","CN101431811")</f>
        <v>CN101431811</v>
      </c>
      <c r="B1288" s="7" t="s">
        <v>6573</v>
      </c>
      <c r="C1288" s="7" t="s">
        <v>6574</v>
      </c>
      <c r="D1288" s="7" t="s">
        <v>1420</v>
      </c>
      <c r="E1288" s="7" t="s">
        <v>1420</v>
      </c>
      <c r="F1288" s="7" t="s">
        <v>6575</v>
      </c>
      <c r="G1288" s="7" t="s">
        <v>6576</v>
      </c>
      <c r="H1288" s="7" t="s">
        <v>6577</v>
      </c>
      <c r="I1288" s="7" t="s">
        <v>6577</v>
      </c>
      <c r="J1288" s="7" t="s">
        <v>6578</v>
      </c>
      <c r="K1288" s="7" t="s">
        <v>55</v>
      </c>
      <c r="L1288" s="7" t="s">
        <v>1710</v>
      </c>
      <c r="M1288" s="7">
        <v>10</v>
      </c>
      <c r="N1288" s="7">
        <v>41</v>
      </c>
      <c r="O1288" s="7" t="s">
        <v>42</v>
      </c>
      <c r="P1288" s="7" t="s">
        <v>43</v>
      </c>
      <c r="Q1288" s="7">
        <v>0</v>
      </c>
      <c r="R1288" s="7">
        <v>0</v>
      </c>
      <c r="S1288" s="7">
        <v>0</v>
      </c>
      <c r="T1288" s="7">
        <v>0</v>
      </c>
      <c r="U1288" s="7">
        <v>6</v>
      </c>
      <c r="V1288" s="7" t="s">
        <v>6454</v>
      </c>
      <c r="W1288" s="7">
        <v>0</v>
      </c>
      <c r="X1288" s="7">
        <v>6</v>
      </c>
      <c r="Y1288" s="7">
        <v>4</v>
      </c>
      <c r="Z1288" s="7">
        <v>2</v>
      </c>
      <c r="AA1288" s="7">
        <v>1</v>
      </c>
      <c r="AB1288" s="7">
        <v>1</v>
      </c>
      <c r="AC1288" s="7" t="s">
        <v>0</v>
      </c>
      <c r="AD1288" s="7">
        <v>1</v>
      </c>
      <c r="AE1288" s="7" t="s">
        <v>60</v>
      </c>
    </row>
    <row r="1289" spans="1:31" ht="89.25" x14ac:dyDescent="0.2">
      <c r="A1289" s="8" t="str">
        <f>HYPERLINK("http://www.patentics.cn/invokexml.do?sx=showpatent_cn&amp;sf=ShowPatent&amp;spn=WO2012071724&amp;sx=showpatent_cn&amp;sv=cad815c442117d0c5410fa997a250404","WO2012071724")</f>
        <v>WO2012071724</v>
      </c>
      <c r="B1289" s="9" t="s">
        <v>6579</v>
      </c>
      <c r="C1289" s="9" t="s">
        <v>6580</v>
      </c>
      <c r="D1289" s="9" t="s">
        <v>117</v>
      </c>
      <c r="E1289" s="9" t="s">
        <v>49</v>
      </c>
      <c r="F1289" s="9" t="s">
        <v>6581</v>
      </c>
      <c r="G1289" s="9" t="s">
        <v>6582</v>
      </c>
      <c r="H1289" s="9" t="s">
        <v>0</v>
      </c>
      <c r="I1289" s="9" t="s">
        <v>6583</v>
      </c>
      <c r="J1289" s="9" t="s">
        <v>6584</v>
      </c>
      <c r="K1289" s="9" t="s">
        <v>55</v>
      </c>
      <c r="L1289" s="9" t="s">
        <v>4336</v>
      </c>
      <c r="M1289" s="9">
        <v>28</v>
      </c>
      <c r="N1289" s="9">
        <v>10</v>
      </c>
      <c r="O1289" s="9" t="s">
        <v>850</v>
      </c>
      <c r="P1289" s="9" t="s">
        <v>1932</v>
      </c>
      <c r="Q1289" s="9">
        <v>4</v>
      </c>
      <c r="R1289" s="9">
        <v>0</v>
      </c>
      <c r="S1289" s="9">
        <v>4</v>
      </c>
      <c r="T1289" s="9">
        <v>4</v>
      </c>
      <c r="U1289" s="9">
        <v>4</v>
      </c>
      <c r="V1289" s="9" t="s">
        <v>645</v>
      </c>
      <c r="W1289" s="9">
        <v>1</v>
      </c>
      <c r="X1289" s="9">
        <v>3</v>
      </c>
      <c r="Y1289" s="9">
        <v>2</v>
      </c>
      <c r="Z1289" s="9">
        <v>2</v>
      </c>
      <c r="AA1289" s="9">
        <v>0</v>
      </c>
      <c r="AB1289" s="9">
        <v>0</v>
      </c>
      <c r="AC1289" s="9">
        <v>14</v>
      </c>
      <c r="AD1289" s="9" t="s">
        <v>0</v>
      </c>
      <c r="AE1289" s="9" t="s">
        <v>0</v>
      </c>
    </row>
    <row r="1290" spans="1:31" ht="38.25" x14ac:dyDescent="0.2">
      <c r="A1290" s="6" t="str">
        <f>HYPERLINK("http://www.patentics.cn/invokexml.do?sx=showpatent_cn&amp;sf=ShowPatent&amp;spn=CN101419479&amp;sx=showpatent_cn&amp;sv=6b87eb7208a58b5fed3cd17ea5e0af8b","CN101419479")</f>
        <v>CN101419479</v>
      </c>
      <c r="B1290" s="7" t="s">
        <v>6585</v>
      </c>
      <c r="C1290" s="7" t="s">
        <v>6586</v>
      </c>
      <c r="D1290" s="7" t="s">
        <v>2181</v>
      </c>
      <c r="E1290" s="7" t="s">
        <v>2181</v>
      </c>
      <c r="F1290" s="7" t="s">
        <v>6587</v>
      </c>
      <c r="G1290" s="7" t="s">
        <v>6588</v>
      </c>
      <c r="H1290" s="7" t="s">
        <v>2520</v>
      </c>
      <c r="I1290" s="7" t="s">
        <v>2520</v>
      </c>
      <c r="J1290" s="7" t="s">
        <v>6589</v>
      </c>
      <c r="K1290" s="7" t="s">
        <v>3117</v>
      </c>
      <c r="L1290" s="7" t="s">
        <v>5663</v>
      </c>
      <c r="M1290" s="7">
        <v>6</v>
      </c>
      <c r="N1290" s="7">
        <v>18</v>
      </c>
      <c r="O1290" s="7" t="s">
        <v>42</v>
      </c>
      <c r="P1290" s="7" t="s">
        <v>43</v>
      </c>
      <c r="Q1290" s="7">
        <v>0</v>
      </c>
      <c r="R1290" s="7">
        <v>0</v>
      </c>
      <c r="S1290" s="7">
        <v>0</v>
      </c>
      <c r="T1290" s="7">
        <v>0</v>
      </c>
      <c r="U1290" s="7">
        <v>23</v>
      </c>
      <c r="V1290" s="7" t="s">
        <v>6590</v>
      </c>
      <c r="W1290" s="7">
        <v>0</v>
      </c>
      <c r="X1290" s="7">
        <v>23</v>
      </c>
      <c r="Y1290" s="7">
        <v>12</v>
      </c>
      <c r="Z1290" s="7">
        <v>2</v>
      </c>
      <c r="AA1290" s="7">
        <v>1</v>
      </c>
      <c r="AB1290" s="7">
        <v>1</v>
      </c>
      <c r="AC1290" s="7" t="s">
        <v>0</v>
      </c>
      <c r="AD1290" s="7">
        <v>1</v>
      </c>
      <c r="AE1290" s="7" t="s">
        <v>60</v>
      </c>
    </row>
    <row r="1291" spans="1:31" ht="76.5" x14ac:dyDescent="0.2">
      <c r="A1291" s="8" t="str">
        <f>HYPERLINK("http://www.patentics.cn/invokexml.do?sx=showpatent_cn&amp;sf=ShowPatent&amp;spn=US8810224&amp;sx=showpatent_cn&amp;sv=7cbb6b0cef7842385a448975bd7dac68","US8810224")</f>
        <v>US8810224</v>
      </c>
      <c r="B1291" s="9" t="s">
        <v>6591</v>
      </c>
      <c r="C1291" s="9" t="s">
        <v>6592</v>
      </c>
      <c r="D1291" s="9" t="s">
        <v>48</v>
      </c>
      <c r="E1291" s="9" t="s">
        <v>49</v>
      </c>
      <c r="F1291" s="9" t="s">
        <v>6593</v>
      </c>
      <c r="G1291" s="9" t="s">
        <v>6594</v>
      </c>
      <c r="H1291" s="9" t="s">
        <v>3333</v>
      </c>
      <c r="I1291" s="9" t="s">
        <v>3333</v>
      </c>
      <c r="J1291" s="9" t="s">
        <v>946</v>
      </c>
      <c r="K1291" s="9" t="s">
        <v>3117</v>
      </c>
      <c r="L1291" s="9" t="s">
        <v>6595</v>
      </c>
      <c r="M1291" s="9">
        <v>41</v>
      </c>
      <c r="N1291" s="9">
        <v>18</v>
      </c>
      <c r="O1291" s="9" t="s">
        <v>57</v>
      </c>
      <c r="P1291" s="9" t="s">
        <v>58</v>
      </c>
      <c r="Q1291" s="9">
        <v>19</v>
      </c>
      <c r="R1291" s="9">
        <v>5</v>
      </c>
      <c r="S1291" s="9">
        <v>14</v>
      </c>
      <c r="T1291" s="9">
        <v>12</v>
      </c>
      <c r="U1291" s="9">
        <v>1</v>
      </c>
      <c r="V1291" s="9" t="s">
        <v>131</v>
      </c>
      <c r="W1291" s="9">
        <v>0</v>
      </c>
      <c r="X1291" s="9">
        <v>1</v>
      </c>
      <c r="Y1291" s="9">
        <v>1</v>
      </c>
      <c r="Z1291" s="9">
        <v>1</v>
      </c>
      <c r="AA1291" s="9">
        <v>2</v>
      </c>
      <c r="AB1291" s="9">
        <v>2</v>
      </c>
      <c r="AC1291" s="9">
        <v>14</v>
      </c>
      <c r="AD1291" s="9" t="s">
        <v>0</v>
      </c>
      <c r="AE1291" s="9" t="s">
        <v>60</v>
      </c>
    </row>
    <row r="1292" spans="1:31" ht="25.5" x14ac:dyDescent="0.2">
      <c r="A1292" s="6" t="str">
        <f>HYPERLINK("http://www.patentics.cn/invokexml.do?sx=showpatent_cn&amp;sf=ShowPatent&amp;spn=CN101414860&amp;sx=showpatent_cn&amp;sv=ae07d2a276b7d42e5df41564daa6e96e","CN101414860")</f>
        <v>CN101414860</v>
      </c>
      <c r="B1292" s="7" t="s">
        <v>6596</v>
      </c>
      <c r="C1292" s="7" t="s">
        <v>6597</v>
      </c>
      <c r="D1292" s="7" t="s">
        <v>3483</v>
      </c>
      <c r="E1292" s="7" t="s">
        <v>3483</v>
      </c>
      <c r="F1292" s="7" t="s">
        <v>6598</v>
      </c>
      <c r="G1292" s="7" t="s">
        <v>6599</v>
      </c>
      <c r="H1292" s="7" t="s">
        <v>6600</v>
      </c>
      <c r="I1292" s="7" t="s">
        <v>6600</v>
      </c>
      <c r="J1292" s="7" t="s">
        <v>1058</v>
      </c>
      <c r="K1292" s="7" t="s">
        <v>89</v>
      </c>
      <c r="L1292" s="7" t="s">
        <v>104</v>
      </c>
      <c r="M1292" s="7">
        <v>4</v>
      </c>
      <c r="N1292" s="7">
        <v>32</v>
      </c>
      <c r="O1292" s="7" t="s">
        <v>42</v>
      </c>
      <c r="P1292" s="7" t="s">
        <v>43</v>
      </c>
      <c r="Q1292" s="7">
        <v>0</v>
      </c>
      <c r="R1292" s="7">
        <v>0</v>
      </c>
      <c r="S1292" s="7">
        <v>0</v>
      </c>
      <c r="T1292" s="7">
        <v>0</v>
      </c>
      <c r="U1292" s="7">
        <v>4</v>
      </c>
      <c r="V1292" s="7" t="s">
        <v>4496</v>
      </c>
      <c r="W1292" s="7">
        <v>0</v>
      </c>
      <c r="X1292" s="7">
        <v>4</v>
      </c>
      <c r="Y1292" s="7">
        <v>3</v>
      </c>
      <c r="Z1292" s="7">
        <v>3</v>
      </c>
      <c r="AA1292" s="7">
        <v>1</v>
      </c>
      <c r="AB1292" s="7">
        <v>1</v>
      </c>
      <c r="AC1292" s="7" t="s">
        <v>0</v>
      </c>
      <c r="AD1292" s="7">
        <v>1</v>
      </c>
      <c r="AE1292" s="7" t="s">
        <v>60</v>
      </c>
    </row>
    <row r="1293" spans="1:31" ht="25.5" x14ac:dyDescent="0.2">
      <c r="A1293" s="8" t="str">
        <f>HYPERLINK("http://www.patentics.cn/invokexml.do?sx=showpatent_cn&amp;sf=ShowPatent&amp;spn=US8676221&amp;sx=showpatent_cn&amp;sv=07e5d543fd769d7f2144336f37682e82","US8676221")</f>
        <v>US8676221</v>
      </c>
      <c r="B1293" s="9" t="s">
        <v>6601</v>
      </c>
      <c r="C1293" s="9" t="s">
        <v>6602</v>
      </c>
      <c r="D1293" s="9" t="s">
        <v>48</v>
      </c>
      <c r="E1293" s="9" t="s">
        <v>49</v>
      </c>
      <c r="F1293" s="9" t="s">
        <v>6603</v>
      </c>
      <c r="G1293" s="9" t="s">
        <v>6603</v>
      </c>
      <c r="H1293" s="9" t="s">
        <v>5822</v>
      </c>
      <c r="I1293" s="9" t="s">
        <v>5822</v>
      </c>
      <c r="J1293" s="9" t="s">
        <v>2522</v>
      </c>
      <c r="K1293" s="9" t="s">
        <v>55</v>
      </c>
      <c r="L1293" s="9" t="s">
        <v>2515</v>
      </c>
      <c r="M1293" s="9">
        <v>58</v>
      </c>
      <c r="N1293" s="9">
        <v>13</v>
      </c>
      <c r="O1293" s="9" t="s">
        <v>57</v>
      </c>
      <c r="P1293" s="9" t="s">
        <v>58</v>
      </c>
      <c r="Q1293" s="9">
        <v>23</v>
      </c>
      <c r="R1293" s="9">
        <v>0</v>
      </c>
      <c r="S1293" s="9">
        <v>23</v>
      </c>
      <c r="T1293" s="9">
        <v>15</v>
      </c>
      <c r="U1293" s="9">
        <v>1</v>
      </c>
      <c r="V1293" s="9" t="s">
        <v>82</v>
      </c>
      <c r="W1293" s="9">
        <v>0</v>
      </c>
      <c r="X1293" s="9">
        <v>1</v>
      </c>
      <c r="Y1293" s="9">
        <v>1</v>
      </c>
      <c r="Z1293" s="9">
        <v>1</v>
      </c>
      <c r="AA1293" s="9">
        <v>11</v>
      </c>
      <c r="AB1293" s="9">
        <v>7</v>
      </c>
      <c r="AC1293" s="9">
        <v>14</v>
      </c>
      <c r="AD1293" s="9" t="s">
        <v>0</v>
      </c>
      <c r="AE1293" s="9" t="s">
        <v>60</v>
      </c>
    </row>
    <row r="1294" spans="1:31" ht="38.25" x14ac:dyDescent="0.2">
      <c r="A1294" s="6" t="str">
        <f>HYPERLINK("http://www.patentics.cn/invokexml.do?sx=showpatent_cn&amp;sf=ShowPatent&amp;spn=CN101409630&amp;sx=showpatent_cn&amp;sv=624ca8ad20d99c3e4b85bffd91d26225","CN101409630")</f>
        <v>CN101409630</v>
      </c>
      <c r="B1294" s="7" t="s">
        <v>6604</v>
      </c>
      <c r="C1294" s="7" t="s">
        <v>6605</v>
      </c>
      <c r="D1294" s="7" t="s">
        <v>6606</v>
      </c>
      <c r="E1294" s="7" t="s">
        <v>6607</v>
      </c>
      <c r="F1294" s="7" t="s">
        <v>6608</v>
      </c>
      <c r="G1294" s="7" t="s">
        <v>6609</v>
      </c>
      <c r="H1294" s="7" t="s">
        <v>0</v>
      </c>
      <c r="I1294" s="7" t="s">
        <v>6610</v>
      </c>
      <c r="J1294" s="7" t="s">
        <v>1364</v>
      </c>
      <c r="K1294" s="7" t="s">
        <v>68</v>
      </c>
      <c r="L1294" s="7" t="s">
        <v>6611</v>
      </c>
      <c r="M1294" s="7">
        <v>14</v>
      </c>
      <c r="N1294" s="7">
        <v>8</v>
      </c>
      <c r="O1294" s="7" t="s">
        <v>42</v>
      </c>
      <c r="P1294" s="7" t="s">
        <v>43</v>
      </c>
      <c r="Q1294" s="7">
        <v>0</v>
      </c>
      <c r="R1294" s="7">
        <v>0</v>
      </c>
      <c r="S1294" s="7">
        <v>0</v>
      </c>
      <c r="T1294" s="7">
        <v>0</v>
      </c>
      <c r="U1294" s="7">
        <v>5</v>
      </c>
      <c r="V1294" s="7" t="s">
        <v>6612</v>
      </c>
      <c r="W1294" s="7">
        <v>0</v>
      </c>
      <c r="X1294" s="7">
        <v>5</v>
      </c>
      <c r="Y1294" s="7">
        <v>4</v>
      </c>
      <c r="Z1294" s="7">
        <v>3</v>
      </c>
      <c r="AA1294" s="7">
        <v>0</v>
      </c>
      <c r="AB1294" s="7">
        <v>0</v>
      </c>
      <c r="AC1294" s="7" t="s">
        <v>0</v>
      </c>
      <c r="AD1294" s="7">
        <v>1</v>
      </c>
      <c r="AE1294" s="7" t="s">
        <v>1390</v>
      </c>
    </row>
    <row r="1295" spans="1:31" ht="127.5" x14ac:dyDescent="0.2">
      <c r="A1295" s="8" t="str">
        <f>HYPERLINK("http://www.patentics.cn/invokexml.do?sx=showpatent_cn&amp;sf=ShowPatent&amp;spn=US9628536&amp;sx=showpatent_cn&amp;sv=368ca5c92d6f041ab7041e48860aa70f","US9628536")</f>
        <v>US9628536</v>
      </c>
      <c r="B1295" s="9" t="s">
        <v>6613</v>
      </c>
      <c r="C1295" s="9" t="s">
        <v>6614</v>
      </c>
      <c r="D1295" s="9" t="s">
        <v>48</v>
      </c>
      <c r="E1295" s="9" t="s">
        <v>49</v>
      </c>
      <c r="F1295" s="9" t="s">
        <v>6615</v>
      </c>
      <c r="G1295" s="9" t="s">
        <v>6616</v>
      </c>
      <c r="H1295" s="9" t="s">
        <v>6617</v>
      </c>
      <c r="I1295" s="9" t="s">
        <v>848</v>
      </c>
      <c r="J1295" s="9" t="s">
        <v>5346</v>
      </c>
      <c r="K1295" s="9" t="s">
        <v>1529</v>
      </c>
      <c r="L1295" s="9" t="s">
        <v>3063</v>
      </c>
      <c r="M1295" s="9">
        <v>20</v>
      </c>
      <c r="N1295" s="9">
        <v>16</v>
      </c>
      <c r="O1295" s="9" t="s">
        <v>57</v>
      </c>
      <c r="P1295" s="9" t="s">
        <v>58</v>
      </c>
      <c r="Q1295" s="9">
        <v>482</v>
      </c>
      <c r="R1295" s="9">
        <v>90</v>
      </c>
      <c r="S1295" s="9">
        <v>392</v>
      </c>
      <c r="T1295" s="9">
        <v>114</v>
      </c>
      <c r="U1295" s="9">
        <v>0</v>
      </c>
      <c r="V1295" s="9" t="s">
        <v>114</v>
      </c>
      <c r="W1295" s="9">
        <v>0</v>
      </c>
      <c r="X1295" s="9">
        <v>0</v>
      </c>
      <c r="Y1295" s="9">
        <v>0</v>
      </c>
      <c r="Z1295" s="9">
        <v>0</v>
      </c>
      <c r="AA1295" s="9">
        <v>86</v>
      </c>
      <c r="AB1295" s="9">
        <v>12</v>
      </c>
      <c r="AC1295" s="9">
        <v>14</v>
      </c>
      <c r="AD1295" s="9" t="s">
        <v>0</v>
      </c>
      <c r="AE1295" s="9" t="s">
        <v>60</v>
      </c>
    </row>
    <row r="1296" spans="1:31" ht="51" x14ac:dyDescent="0.2">
      <c r="A1296" s="6" t="str">
        <f>HYPERLINK("http://www.patentics.cn/invokexml.do?sx=showpatent_cn&amp;sf=ShowPatent&amp;spn=CN101395613&amp;sx=showpatent_cn&amp;sv=7e48cb9a7fbfcfed25e679c4b56fd682","CN101395613")</f>
        <v>CN101395613</v>
      </c>
      <c r="B1296" s="7" t="s">
        <v>6618</v>
      </c>
      <c r="C1296" s="7" t="s">
        <v>6619</v>
      </c>
      <c r="D1296" s="7" t="s">
        <v>6620</v>
      </c>
      <c r="E1296" s="7" t="s">
        <v>6620</v>
      </c>
      <c r="F1296" s="7" t="s">
        <v>6621</v>
      </c>
      <c r="G1296" s="7" t="s">
        <v>6622</v>
      </c>
      <c r="H1296" s="7" t="s">
        <v>6623</v>
      </c>
      <c r="I1296" s="7" t="s">
        <v>4364</v>
      </c>
      <c r="J1296" s="7" t="s">
        <v>2225</v>
      </c>
      <c r="K1296" s="7" t="s">
        <v>529</v>
      </c>
      <c r="L1296" s="7" t="s">
        <v>1432</v>
      </c>
      <c r="M1296" s="7">
        <v>39</v>
      </c>
      <c r="N1296" s="7">
        <v>8</v>
      </c>
      <c r="O1296" s="7" t="s">
        <v>42</v>
      </c>
      <c r="P1296" s="7" t="s">
        <v>58</v>
      </c>
      <c r="Q1296" s="7">
        <v>1</v>
      </c>
      <c r="R1296" s="7">
        <v>0</v>
      </c>
      <c r="S1296" s="7">
        <v>1</v>
      </c>
      <c r="T1296" s="7">
        <v>1</v>
      </c>
      <c r="U1296" s="7">
        <v>3</v>
      </c>
      <c r="V1296" s="7" t="s">
        <v>6624</v>
      </c>
      <c r="W1296" s="7">
        <v>0</v>
      </c>
      <c r="X1296" s="7">
        <v>3</v>
      </c>
      <c r="Y1296" s="7">
        <v>3</v>
      </c>
      <c r="Z1296" s="7">
        <v>3</v>
      </c>
      <c r="AA1296" s="7">
        <v>10</v>
      </c>
      <c r="AB1296" s="7">
        <v>6</v>
      </c>
      <c r="AC1296" s="7" t="s">
        <v>0</v>
      </c>
      <c r="AD1296" s="7">
        <v>1</v>
      </c>
      <c r="AE1296" s="7" t="s">
        <v>45</v>
      </c>
    </row>
    <row r="1297" spans="1:31" ht="76.5" x14ac:dyDescent="0.2">
      <c r="A1297" s="8" t="str">
        <f>HYPERLINK("http://www.patentics.cn/invokexml.do?sx=showpatent_cn&amp;sf=ShowPatent&amp;spn=US9639959&amp;sx=showpatent_cn&amp;sv=27842fcabebe12931e669198e774aa02","US9639959")</f>
        <v>US9639959</v>
      </c>
      <c r="B1297" s="9" t="s">
        <v>6625</v>
      </c>
      <c r="C1297" s="9" t="s">
        <v>6626</v>
      </c>
      <c r="D1297" s="9" t="s">
        <v>117</v>
      </c>
      <c r="E1297" s="9" t="s">
        <v>49</v>
      </c>
      <c r="F1297" s="9" t="s">
        <v>6627</v>
      </c>
      <c r="G1297" s="9" t="s">
        <v>4016</v>
      </c>
      <c r="H1297" s="9" t="s">
        <v>6628</v>
      </c>
      <c r="I1297" s="9" t="s">
        <v>6629</v>
      </c>
      <c r="J1297" s="9" t="s">
        <v>6630</v>
      </c>
      <c r="K1297" s="9" t="s">
        <v>714</v>
      </c>
      <c r="L1297" s="9" t="s">
        <v>3448</v>
      </c>
      <c r="M1297" s="9">
        <v>26</v>
      </c>
      <c r="N1297" s="9">
        <v>15</v>
      </c>
      <c r="O1297" s="9" t="s">
        <v>57</v>
      </c>
      <c r="P1297" s="9" t="s">
        <v>58</v>
      </c>
      <c r="Q1297" s="9">
        <v>29</v>
      </c>
      <c r="R1297" s="9">
        <v>0</v>
      </c>
      <c r="S1297" s="9">
        <v>29</v>
      </c>
      <c r="T1297" s="9">
        <v>19</v>
      </c>
      <c r="U1297" s="9">
        <v>0</v>
      </c>
      <c r="V1297" s="9" t="s">
        <v>114</v>
      </c>
      <c r="W1297" s="9">
        <v>0</v>
      </c>
      <c r="X1297" s="9">
        <v>0</v>
      </c>
      <c r="Y1297" s="9">
        <v>0</v>
      </c>
      <c r="Z1297" s="9">
        <v>0</v>
      </c>
      <c r="AA1297" s="9">
        <v>6</v>
      </c>
      <c r="AB1297" s="9">
        <v>6</v>
      </c>
      <c r="AC1297" s="9">
        <v>14</v>
      </c>
      <c r="AD1297" s="9" t="s">
        <v>0</v>
      </c>
      <c r="AE1297" s="9" t="s">
        <v>60</v>
      </c>
    </row>
    <row r="1298" spans="1:31" ht="76.5" x14ac:dyDescent="0.2">
      <c r="A1298" s="6" t="str">
        <f>HYPERLINK("http://www.patentics.cn/invokexml.do?sx=showpatent_cn&amp;sf=ShowPatent&amp;spn=CN101383690&amp;sx=showpatent_cn&amp;sv=88c8f0158a748986a6fd277bb19bb475","CN101383690")</f>
        <v>CN101383690</v>
      </c>
      <c r="B1298" s="7" t="s">
        <v>6631</v>
      </c>
      <c r="C1298" s="7" t="s">
        <v>6632</v>
      </c>
      <c r="D1298" s="7" t="s">
        <v>3146</v>
      </c>
      <c r="E1298" s="7" t="s">
        <v>3146</v>
      </c>
      <c r="F1298" s="7" t="s">
        <v>6633</v>
      </c>
      <c r="G1298" s="7" t="s">
        <v>6634</v>
      </c>
      <c r="H1298" s="7" t="s">
        <v>722</v>
      </c>
      <c r="I1298" s="7" t="s">
        <v>722</v>
      </c>
      <c r="J1298" s="7" t="s">
        <v>6635</v>
      </c>
      <c r="K1298" s="7" t="s">
        <v>68</v>
      </c>
      <c r="L1298" s="7" t="s">
        <v>6636</v>
      </c>
      <c r="M1298" s="7">
        <v>3</v>
      </c>
      <c r="N1298" s="7">
        <v>101</v>
      </c>
      <c r="O1298" s="7" t="s">
        <v>42</v>
      </c>
      <c r="P1298" s="7" t="s">
        <v>43</v>
      </c>
      <c r="Q1298" s="7">
        <v>0</v>
      </c>
      <c r="R1298" s="7">
        <v>0</v>
      </c>
      <c r="S1298" s="7">
        <v>0</v>
      </c>
      <c r="T1298" s="7">
        <v>0</v>
      </c>
      <c r="U1298" s="7">
        <v>6</v>
      </c>
      <c r="V1298" s="7" t="s">
        <v>6637</v>
      </c>
      <c r="W1298" s="7">
        <v>1</v>
      </c>
      <c r="X1298" s="7">
        <v>5</v>
      </c>
      <c r="Y1298" s="7">
        <v>4</v>
      </c>
      <c r="Z1298" s="7">
        <v>2</v>
      </c>
      <c r="AA1298" s="7">
        <v>1</v>
      </c>
      <c r="AB1298" s="7">
        <v>1</v>
      </c>
      <c r="AC1298" s="7" t="s">
        <v>0</v>
      </c>
      <c r="AD1298" s="7">
        <v>1</v>
      </c>
      <c r="AE1298" s="7" t="s">
        <v>532</v>
      </c>
    </row>
    <row r="1299" spans="1:31" ht="89.25" x14ac:dyDescent="0.2">
      <c r="A1299" s="8" t="str">
        <f>HYPERLINK("http://www.patentics.cn/invokexml.do?sx=showpatent_cn&amp;sf=ShowPatent&amp;spn=US9571952&amp;sx=showpatent_cn&amp;sv=276fca6452045e9a21c11b92641a4649","US9571952")</f>
        <v>US9571952</v>
      </c>
      <c r="B1299" s="9" t="s">
        <v>5997</v>
      </c>
      <c r="C1299" s="9" t="s">
        <v>5998</v>
      </c>
      <c r="D1299" s="9" t="s">
        <v>5999</v>
      </c>
      <c r="E1299" s="9" t="s">
        <v>49</v>
      </c>
      <c r="F1299" s="9" t="s">
        <v>6000</v>
      </c>
      <c r="G1299" s="9" t="s">
        <v>2974</v>
      </c>
      <c r="H1299" s="9" t="s">
        <v>670</v>
      </c>
      <c r="I1299" s="9" t="s">
        <v>6001</v>
      </c>
      <c r="J1299" s="9" t="s">
        <v>6002</v>
      </c>
      <c r="K1299" s="9" t="s">
        <v>55</v>
      </c>
      <c r="L1299" s="9" t="s">
        <v>5176</v>
      </c>
      <c r="M1299" s="9">
        <v>27</v>
      </c>
      <c r="N1299" s="9">
        <v>36</v>
      </c>
      <c r="O1299" s="9" t="s">
        <v>57</v>
      </c>
      <c r="P1299" s="9" t="s">
        <v>58</v>
      </c>
      <c r="Q1299" s="9">
        <v>96</v>
      </c>
      <c r="R1299" s="9">
        <v>10</v>
      </c>
      <c r="S1299" s="9">
        <v>86</v>
      </c>
      <c r="T1299" s="9">
        <v>46</v>
      </c>
      <c r="U1299" s="9">
        <v>0</v>
      </c>
      <c r="V1299" s="9" t="s">
        <v>114</v>
      </c>
      <c r="W1299" s="9">
        <v>0</v>
      </c>
      <c r="X1299" s="9">
        <v>0</v>
      </c>
      <c r="Y1299" s="9">
        <v>0</v>
      </c>
      <c r="Z1299" s="9">
        <v>0</v>
      </c>
      <c r="AA1299" s="9">
        <v>7</v>
      </c>
      <c r="AB1299" s="9">
        <v>6</v>
      </c>
      <c r="AC1299" s="9">
        <v>14</v>
      </c>
      <c r="AD1299" s="9" t="s">
        <v>0</v>
      </c>
      <c r="AE1299" s="9" t="s">
        <v>60</v>
      </c>
    </row>
    <row r="1300" spans="1:31" ht="25.5" x14ac:dyDescent="0.2">
      <c r="A1300" s="6" t="str">
        <f>HYPERLINK("http://www.patentics.cn/invokexml.do?sx=showpatent_cn&amp;sf=ShowPatent&amp;spn=CN201199672&amp;sx=showpatent_cn&amp;sv=76b19266c9dce4180174ae190000e232","CN201199672")</f>
        <v>CN201199672</v>
      </c>
      <c r="B1300" s="7" t="s">
        <v>6638</v>
      </c>
      <c r="C1300" s="7" t="s">
        <v>6639</v>
      </c>
      <c r="D1300" s="7" t="s">
        <v>6640</v>
      </c>
      <c r="E1300" s="7" t="s">
        <v>6640</v>
      </c>
      <c r="F1300" s="7" t="s">
        <v>6641</v>
      </c>
      <c r="G1300" s="7" t="s">
        <v>6642</v>
      </c>
      <c r="H1300" s="7" t="s">
        <v>0</v>
      </c>
      <c r="I1300" s="7" t="s">
        <v>6643</v>
      </c>
      <c r="J1300" s="7" t="s">
        <v>4139</v>
      </c>
      <c r="K1300" s="7" t="s">
        <v>3123</v>
      </c>
      <c r="L1300" s="7" t="s">
        <v>6496</v>
      </c>
      <c r="M1300" s="7">
        <v>10</v>
      </c>
      <c r="N1300" s="7">
        <v>19</v>
      </c>
      <c r="O1300" s="7" t="s">
        <v>2185</v>
      </c>
      <c r="P1300" s="7" t="s">
        <v>43</v>
      </c>
      <c r="Q1300" s="7">
        <v>1</v>
      </c>
      <c r="R1300" s="7">
        <v>0</v>
      </c>
      <c r="S1300" s="7">
        <v>1</v>
      </c>
      <c r="T1300" s="7">
        <v>1</v>
      </c>
      <c r="U1300" s="7">
        <v>3</v>
      </c>
      <c r="V1300" s="7" t="s">
        <v>1760</v>
      </c>
      <c r="W1300" s="7">
        <v>0</v>
      </c>
      <c r="X1300" s="7">
        <v>3</v>
      </c>
      <c r="Y1300" s="7">
        <v>3</v>
      </c>
      <c r="Z1300" s="7">
        <v>2</v>
      </c>
      <c r="AA1300" s="7">
        <v>0</v>
      </c>
      <c r="AB1300" s="7">
        <v>0</v>
      </c>
      <c r="AC1300" s="7" t="s">
        <v>0</v>
      </c>
      <c r="AD1300" s="7">
        <v>1</v>
      </c>
      <c r="AE1300" s="7" t="s">
        <v>532</v>
      </c>
    </row>
    <row r="1301" spans="1:31" ht="25.5" x14ac:dyDescent="0.2">
      <c r="A1301" s="8" t="str">
        <f>HYPERLINK("http://www.patentics.cn/invokexml.do?sx=showpatent_cn&amp;sf=ShowPatent&amp;spn=CN103947097B&amp;sx=showpatent_cn&amp;sv=c8e3fd6dd37882e388990cafaf896b53","CN103947097B")</f>
        <v>CN103947097B</v>
      </c>
      <c r="B1301" s="9" t="s">
        <v>6644</v>
      </c>
      <c r="C1301" s="9" t="s">
        <v>6645</v>
      </c>
      <c r="D1301" s="9" t="s">
        <v>301</v>
      </c>
      <c r="E1301" s="9" t="s">
        <v>301</v>
      </c>
      <c r="F1301" s="9" t="s">
        <v>6646</v>
      </c>
      <c r="G1301" s="9" t="s">
        <v>6646</v>
      </c>
      <c r="H1301" s="9" t="s">
        <v>6494</v>
      </c>
      <c r="I1301" s="9" t="s">
        <v>6495</v>
      </c>
      <c r="J1301" s="9" t="s">
        <v>6238</v>
      </c>
      <c r="K1301" s="9" t="s">
        <v>3123</v>
      </c>
      <c r="L1301" s="9" t="s">
        <v>6647</v>
      </c>
      <c r="M1301" s="9">
        <v>29</v>
      </c>
      <c r="N1301" s="9">
        <v>18</v>
      </c>
      <c r="O1301" s="9" t="s">
        <v>57</v>
      </c>
      <c r="P1301" s="9" t="s">
        <v>58</v>
      </c>
      <c r="Q1301" s="9">
        <v>5</v>
      </c>
      <c r="R1301" s="9">
        <v>0</v>
      </c>
      <c r="S1301" s="9">
        <v>5</v>
      </c>
      <c r="T1301" s="9">
        <v>5</v>
      </c>
      <c r="U1301" s="9">
        <v>0</v>
      </c>
      <c r="V1301" s="9" t="s">
        <v>114</v>
      </c>
      <c r="W1301" s="9">
        <v>0</v>
      </c>
      <c r="X1301" s="9">
        <v>0</v>
      </c>
      <c r="Y1301" s="9">
        <v>0</v>
      </c>
      <c r="Z1301" s="9">
        <v>0</v>
      </c>
      <c r="AA1301" s="9">
        <v>17</v>
      </c>
      <c r="AB1301" s="9">
        <v>9</v>
      </c>
      <c r="AC1301" s="9">
        <v>14</v>
      </c>
      <c r="AD1301" s="9" t="s">
        <v>0</v>
      </c>
      <c r="AE1301" s="9" t="s">
        <v>60</v>
      </c>
    </row>
    <row r="1302" spans="1:31" ht="25.5" x14ac:dyDescent="0.2">
      <c r="A1302" s="6" t="str">
        <f>HYPERLINK("http://www.patentics.cn/invokexml.do?sx=showpatent_cn&amp;sf=ShowPatent&amp;spn=CN101365142&amp;sx=showpatent_cn&amp;sv=c6ff80e07e4dc403f446405a51611748","CN101365142")</f>
        <v>CN101365142</v>
      </c>
      <c r="B1302" s="7" t="s">
        <v>6648</v>
      </c>
      <c r="C1302" s="7" t="s">
        <v>6649</v>
      </c>
      <c r="D1302" s="7" t="s">
        <v>923</v>
      </c>
      <c r="E1302" s="7" t="s">
        <v>923</v>
      </c>
      <c r="F1302" s="7" t="s">
        <v>6650</v>
      </c>
      <c r="G1302" s="7" t="s">
        <v>6651</v>
      </c>
      <c r="H1302" s="7" t="s">
        <v>6652</v>
      </c>
      <c r="I1302" s="7" t="s">
        <v>6652</v>
      </c>
      <c r="J1302" s="7" t="s">
        <v>6653</v>
      </c>
      <c r="K1302" s="7" t="s">
        <v>714</v>
      </c>
      <c r="L1302" s="7" t="s">
        <v>3448</v>
      </c>
      <c r="M1302" s="7">
        <v>4</v>
      </c>
      <c r="N1302" s="7">
        <v>13</v>
      </c>
      <c r="O1302" s="7" t="s">
        <v>42</v>
      </c>
      <c r="P1302" s="7" t="s">
        <v>43</v>
      </c>
      <c r="Q1302" s="7">
        <v>0</v>
      </c>
      <c r="R1302" s="7">
        <v>0</v>
      </c>
      <c r="S1302" s="7">
        <v>0</v>
      </c>
      <c r="T1302" s="7">
        <v>0</v>
      </c>
      <c r="U1302" s="7">
        <v>5</v>
      </c>
      <c r="V1302" s="7" t="s">
        <v>6654</v>
      </c>
      <c r="W1302" s="7">
        <v>0</v>
      </c>
      <c r="X1302" s="7">
        <v>5</v>
      </c>
      <c r="Y1302" s="7">
        <v>3</v>
      </c>
      <c r="Z1302" s="7">
        <v>2</v>
      </c>
      <c r="AA1302" s="7">
        <v>1</v>
      </c>
      <c r="AB1302" s="7">
        <v>1</v>
      </c>
      <c r="AC1302" s="7" t="s">
        <v>0</v>
      </c>
      <c r="AD1302" s="7">
        <v>1</v>
      </c>
      <c r="AE1302" s="7" t="s">
        <v>532</v>
      </c>
    </row>
    <row r="1303" spans="1:31" ht="51" x14ac:dyDescent="0.2">
      <c r="A1303" s="8" t="str">
        <f>HYPERLINK("http://www.patentics.cn/invokexml.do?sx=showpatent_cn&amp;sf=ShowPatent&amp;spn=WO2015006884&amp;sx=showpatent_cn&amp;sv=0f89257f850d346efd754c876df5bd70","WO2015006884")</f>
        <v>WO2015006884</v>
      </c>
      <c r="B1303" s="9" t="s">
        <v>6114</v>
      </c>
      <c r="C1303" s="9" t="s">
        <v>6115</v>
      </c>
      <c r="D1303" s="9" t="s">
        <v>117</v>
      </c>
      <c r="E1303" s="9" t="s">
        <v>49</v>
      </c>
      <c r="F1303" s="9" t="s">
        <v>6116</v>
      </c>
      <c r="G1303" s="9" t="s">
        <v>6117</v>
      </c>
      <c r="H1303" s="9" t="s">
        <v>0</v>
      </c>
      <c r="I1303" s="9" t="s">
        <v>6118</v>
      </c>
      <c r="J1303" s="9" t="s">
        <v>6119</v>
      </c>
      <c r="K1303" s="9" t="s">
        <v>714</v>
      </c>
      <c r="L1303" s="9" t="s">
        <v>6120</v>
      </c>
      <c r="M1303" s="9">
        <v>156</v>
      </c>
      <c r="N1303" s="9">
        <v>15</v>
      </c>
      <c r="O1303" s="9" t="s">
        <v>850</v>
      </c>
      <c r="P1303" s="9" t="s">
        <v>1932</v>
      </c>
      <c r="Q1303" s="9">
        <v>5</v>
      </c>
      <c r="R1303" s="9">
        <v>1</v>
      </c>
      <c r="S1303" s="9">
        <v>4</v>
      </c>
      <c r="T1303" s="9">
        <v>4</v>
      </c>
      <c r="U1303" s="9">
        <v>1</v>
      </c>
      <c r="V1303" s="9" t="s">
        <v>484</v>
      </c>
      <c r="W1303" s="9">
        <v>1</v>
      </c>
      <c r="X1303" s="9">
        <v>0</v>
      </c>
      <c r="Y1303" s="9">
        <v>1</v>
      </c>
      <c r="Z1303" s="9">
        <v>1</v>
      </c>
      <c r="AA1303" s="9">
        <v>0</v>
      </c>
      <c r="AB1303" s="9">
        <v>0</v>
      </c>
      <c r="AC1303" s="9">
        <v>14</v>
      </c>
      <c r="AD1303" s="9" t="s">
        <v>0</v>
      </c>
      <c r="AE1303" s="9" t="s">
        <v>0</v>
      </c>
    </row>
    <row r="1304" spans="1:31" ht="63.75" x14ac:dyDescent="0.2">
      <c r="A1304" s="6" t="str">
        <f>HYPERLINK("http://www.patentics.cn/invokexml.do?sx=showpatent_cn&amp;sf=ShowPatent&amp;spn=CN101360338&amp;sx=showpatent_cn&amp;sv=5cd3fa7e2a3ac5864ef5db009e72a28e","CN101360338")</f>
        <v>CN101360338</v>
      </c>
      <c r="B1304" s="7" t="s">
        <v>6655</v>
      </c>
      <c r="C1304" s="7" t="s">
        <v>6656</v>
      </c>
      <c r="D1304" s="7" t="s">
        <v>6657</v>
      </c>
      <c r="E1304" s="7" t="s">
        <v>6658</v>
      </c>
      <c r="F1304" s="7" t="s">
        <v>6659</v>
      </c>
      <c r="G1304" s="7" t="s">
        <v>6660</v>
      </c>
      <c r="H1304" s="7" t="s">
        <v>0</v>
      </c>
      <c r="I1304" s="7" t="s">
        <v>6661</v>
      </c>
      <c r="J1304" s="7" t="s">
        <v>6662</v>
      </c>
      <c r="K1304" s="7" t="s">
        <v>96</v>
      </c>
      <c r="L1304" s="7" t="s">
        <v>1102</v>
      </c>
      <c r="M1304" s="7">
        <v>4</v>
      </c>
      <c r="N1304" s="7">
        <v>15</v>
      </c>
      <c r="O1304" s="7" t="s">
        <v>42</v>
      </c>
      <c r="P1304" s="7" t="s">
        <v>43</v>
      </c>
      <c r="Q1304" s="7">
        <v>0</v>
      </c>
      <c r="R1304" s="7">
        <v>0</v>
      </c>
      <c r="S1304" s="7">
        <v>0</v>
      </c>
      <c r="T1304" s="7">
        <v>0</v>
      </c>
      <c r="U1304" s="7">
        <v>3</v>
      </c>
      <c r="V1304" s="7" t="s">
        <v>6663</v>
      </c>
      <c r="W1304" s="7">
        <v>0</v>
      </c>
      <c r="X1304" s="7">
        <v>3</v>
      </c>
      <c r="Y1304" s="7">
        <v>3</v>
      </c>
      <c r="Z1304" s="7">
        <v>2</v>
      </c>
      <c r="AA1304" s="7">
        <v>0</v>
      </c>
      <c r="AB1304" s="7">
        <v>0</v>
      </c>
      <c r="AC1304" s="7" t="s">
        <v>0</v>
      </c>
      <c r="AD1304" s="7">
        <v>1</v>
      </c>
      <c r="AE1304" s="7" t="s">
        <v>45</v>
      </c>
    </row>
    <row r="1305" spans="1:31" ht="114.75" x14ac:dyDescent="0.2">
      <c r="A1305" s="8" t="str">
        <f>HYPERLINK("http://www.patentics.cn/invokexml.do?sx=showpatent_cn&amp;sf=ShowPatent&amp;spn=WO2015131311&amp;sx=showpatent_cn&amp;sv=37488daa5978305b262b65920a9abd9f","WO2015131311")</f>
        <v>WO2015131311</v>
      </c>
      <c r="B1305" s="9" t="s">
        <v>6664</v>
      </c>
      <c r="C1305" s="9" t="s">
        <v>6665</v>
      </c>
      <c r="D1305" s="9" t="s">
        <v>117</v>
      </c>
      <c r="E1305" s="9" t="s">
        <v>49</v>
      </c>
      <c r="F1305" s="9" t="s">
        <v>6666</v>
      </c>
      <c r="G1305" s="9" t="s">
        <v>6667</v>
      </c>
      <c r="H1305" s="9" t="s">
        <v>0</v>
      </c>
      <c r="I1305" s="9" t="s">
        <v>4992</v>
      </c>
      <c r="J1305" s="9" t="s">
        <v>5446</v>
      </c>
      <c r="K1305" s="9" t="s">
        <v>55</v>
      </c>
      <c r="L1305" s="9" t="s">
        <v>150</v>
      </c>
      <c r="M1305" s="9">
        <v>20</v>
      </c>
      <c r="N1305" s="9">
        <v>12</v>
      </c>
      <c r="O1305" s="9" t="s">
        <v>850</v>
      </c>
      <c r="P1305" s="9" t="s">
        <v>1932</v>
      </c>
      <c r="Q1305" s="9">
        <v>3</v>
      </c>
      <c r="R1305" s="9">
        <v>1</v>
      </c>
      <c r="S1305" s="9">
        <v>2</v>
      </c>
      <c r="T1305" s="9">
        <v>3</v>
      </c>
      <c r="U1305" s="9">
        <v>0</v>
      </c>
      <c r="V1305" s="9" t="s">
        <v>114</v>
      </c>
      <c r="W1305" s="9">
        <v>0</v>
      </c>
      <c r="X1305" s="9">
        <v>0</v>
      </c>
      <c r="Y1305" s="9">
        <v>0</v>
      </c>
      <c r="Z1305" s="9">
        <v>0</v>
      </c>
      <c r="AA1305" s="9">
        <v>0</v>
      </c>
      <c r="AB1305" s="9">
        <v>0</v>
      </c>
      <c r="AC1305" s="9">
        <v>14</v>
      </c>
      <c r="AD1305" s="9" t="s">
        <v>0</v>
      </c>
      <c r="AE1305" s="9" t="s">
        <v>0</v>
      </c>
    </row>
    <row r="1306" spans="1:31" ht="25.5" x14ac:dyDescent="0.2">
      <c r="A1306" s="6" t="str">
        <f>HYPERLINK("http://www.patentics.cn/invokexml.do?sx=showpatent_cn&amp;sf=ShowPatent&amp;spn=CN101340416&amp;sx=showpatent_cn&amp;sv=aea183a29d0c9b06978c89af3ae7436f","CN101340416")</f>
        <v>CN101340416</v>
      </c>
      <c r="B1306" s="7" t="s">
        <v>6668</v>
      </c>
      <c r="C1306" s="7" t="s">
        <v>6669</v>
      </c>
      <c r="D1306" s="7" t="s">
        <v>4056</v>
      </c>
      <c r="E1306" s="7" t="s">
        <v>4056</v>
      </c>
      <c r="F1306" s="7" t="s">
        <v>6670</v>
      </c>
      <c r="G1306" s="7" t="s">
        <v>6671</v>
      </c>
      <c r="H1306" s="7" t="s">
        <v>2512</v>
      </c>
      <c r="I1306" s="7" t="s">
        <v>2512</v>
      </c>
      <c r="J1306" s="7" t="s">
        <v>3893</v>
      </c>
      <c r="K1306" s="7" t="s">
        <v>68</v>
      </c>
      <c r="L1306" s="7" t="s">
        <v>281</v>
      </c>
      <c r="M1306" s="7">
        <v>1</v>
      </c>
      <c r="N1306" s="7">
        <v>115</v>
      </c>
      <c r="O1306" s="7" t="s">
        <v>42</v>
      </c>
      <c r="P1306" s="7" t="s">
        <v>43</v>
      </c>
      <c r="Q1306" s="7">
        <v>0</v>
      </c>
      <c r="R1306" s="7">
        <v>0</v>
      </c>
      <c r="S1306" s="7">
        <v>0</v>
      </c>
      <c r="T1306" s="7">
        <v>0</v>
      </c>
      <c r="U1306" s="7">
        <v>17</v>
      </c>
      <c r="V1306" s="7" t="s">
        <v>6672</v>
      </c>
      <c r="W1306" s="7">
        <v>1</v>
      </c>
      <c r="X1306" s="7">
        <v>16</v>
      </c>
      <c r="Y1306" s="7">
        <v>10</v>
      </c>
      <c r="Z1306" s="7">
        <v>2</v>
      </c>
      <c r="AA1306" s="7">
        <v>1</v>
      </c>
      <c r="AB1306" s="7">
        <v>1</v>
      </c>
      <c r="AC1306" s="7" t="s">
        <v>0</v>
      </c>
      <c r="AD1306" s="7">
        <v>1</v>
      </c>
      <c r="AE1306" s="7" t="s">
        <v>532</v>
      </c>
    </row>
    <row r="1307" spans="1:31" ht="63.75" x14ac:dyDescent="0.2">
      <c r="A1307" s="8" t="str">
        <f>HYPERLINK("http://www.patentics.cn/invokexml.do?sx=showpatent_cn&amp;sf=ShowPatent&amp;spn=CN103609058B&amp;sx=showpatent_cn&amp;sv=de2ed545cab711c38f610fddb6803d94","CN103609058B")</f>
        <v>CN103609058B</v>
      </c>
      <c r="B1307" s="9" t="s">
        <v>6673</v>
      </c>
      <c r="C1307" s="9" t="s">
        <v>6674</v>
      </c>
      <c r="D1307" s="9" t="s">
        <v>301</v>
      </c>
      <c r="E1307" s="9" t="s">
        <v>301</v>
      </c>
      <c r="F1307" s="9" t="s">
        <v>6675</v>
      </c>
      <c r="G1307" s="9" t="s">
        <v>6676</v>
      </c>
      <c r="H1307" s="9" t="s">
        <v>6677</v>
      </c>
      <c r="I1307" s="9" t="s">
        <v>6678</v>
      </c>
      <c r="J1307" s="9" t="s">
        <v>6679</v>
      </c>
      <c r="K1307" s="9" t="s">
        <v>68</v>
      </c>
      <c r="L1307" s="9" t="s">
        <v>6680</v>
      </c>
      <c r="M1307" s="9">
        <v>69</v>
      </c>
      <c r="N1307" s="9">
        <v>14</v>
      </c>
      <c r="O1307" s="9" t="s">
        <v>57</v>
      </c>
      <c r="P1307" s="9" t="s">
        <v>58</v>
      </c>
      <c r="Q1307" s="9">
        <v>4</v>
      </c>
      <c r="R1307" s="9">
        <v>0</v>
      </c>
      <c r="S1307" s="9">
        <v>4</v>
      </c>
      <c r="T1307" s="9">
        <v>3</v>
      </c>
      <c r="U1307" s="9">
        <v>0</v>
      </c>
      <c r="V1307" s="9" t="s">
        <v>114</v>
      </c>
      <c r="W1307" s="9">
        <v>0</v>
      </c>
      <c r="X1307" s="9">
        <v>0</v>
      </c>
      <c r="Y1307" s="9">
        <v>0</v>
      </c>
      <c r="Z1307" s="9">
        <v>0</v>
      </c>
      <c r="AA1307" s="9">
        <v>0</v>
      </c>
      <c r="AB1307" s="9">
        <v>0</v>
      </c>
      <c r="AC1307" s="9">
        <v>14</v>
      </c>
      <c r="AD1307" s="9" t="s">
        <v>0</v>
      </c>
      <c r="AE1307" s="9" t="s">
        <v>60</v>
      </c>
    </row>
    <row r="1308" spans="1:31" ht="25.5" x14ac:dyDescent="0.2">
      <c r="A1308" s="6" t="str">
        <f>HYPERLINK("http://www.patentics.cn/invokexml.do?sx=showpatent_cn&amp;sf=ShowPatent&amp;spn=CN101340576&amp;sx=showpatent_cn&amp;sv=5037d03e9e2e396e20e8cc79b069b4a1","CN101340576")</f>
        <v>CN101340576</v>
      </c>
      <c r="B1308" s="7" t="s">
        <v>6681</v>
      </c>
      <c r="C1308" s="7" t="s">
        <v>6682</v>
      </c>
      <c r="D1308" s="7" t="s">
        <v>6683</v>
      </c>
      <c r="E1308" s="7" t="s">
        <v>1225</v>
      </c>
      <c r="F1308" s="7" t="s">
        <v>6684</v>
      </c>
      <c r="G1308" s="7" t="s">
        <v>6685</v>
      </c>
      <c r="H1308" s="7" t="s">
        <v>0</v>
      </c>
      <c r="I1308" s="7" t="s">
        <v>6686</v>
      </c>
      <c r="J1308" s="7" t="s">
        <v>3893</v>
      </c>
      <c r="K1308" s="7" t="s">
        <v>714</v>
      </c>
      <c r="L1308" s="7" t="s">
        <v>1346</v>
      </c>
      <c r="M1308" s="7">
        <v>4</v>
      </c>
      <c r="N1308" s="7">
        <v>56</v>
      </c>
      <c r="O1308" s="7" t="s">
        <v>42</v>
      </c>
      <c r="P1308" s="7" t="s">
        <v>43</v>
      </c>
      <c r="Q1308" s="7">
        <v>0</v>
      </c>
      <c r="R1308" s="7">
        <v>0</v>
      </c>
      <c r="S1308" s="7">
        <v>0</v>
      </c>
      <c r="T1308" s="7">
        <v>0</v>
      </c>
      <c r="U1308" s="7">
        <v>4</v>
      </c>
      <c r="V1308" s="7" t="s">
        <v>6207</v>
      </c>
      <c r="W1308" s="7">
        <v>0</v>
      </c>
      <c r="X1308" s="7">
        <v>4</v>
      </c>
      <c r="Y1308" s="7">
        <v>3</v>
      </c>
      <c r="Z1308" s="7">
        <v>2</v>
      </c>
      <c r="AA1308" s="7">
        <v>0</v>
      </c>
      <c r="AB1308" s="7">
        <v>0</v>
      </c>
      <c r="AC1308" s="7" t="s">
        <v>0</v>
      </c>
      <c r="AD1308" s="7">
        <v>1</v>
      </c>
      <c r="AE1308" s="7" t="s">
        <v>45</v>
      </c>
    </row>
    <row r="1309" spans="1:31" ht="51" x14ac:dyDescent="0.2">
      <c r="A1309" s="8" t="str">
        <f>HYPERLINK("http://www.patentics.cn/invokexml.do?sx=showpatent_cn&amp;sf=ShowPatent&amp;spn=WO2015100514&amp;sx=showpatent_cn&amp;sv=46b79c38428eb27608b06b2949a140bf","WO2015100514")</f>
        <v>WO2015100514</v>
      </c>
      <c r="B1309" s="9" t="s">
        <v>4966</v>
      </c>
      <c r="C1309" s="9" t="s">
        <v>4967</v>
      </c>
      <c r="D1309" s="9" t="s">
        <v>117</v>
      </c>
      <c r="E1309" s="9" t="s">
        <v>49</v>
      </c>
      <c r="F1309" s="9" t="s">
        <v>4968</v>
      </c>
      <c r="G1309" s="9" t="s">
        <v>3445</v>
      </c>
      <c r="H1309" s="9" t="s">
        <v>2206</v>
      </c>
      <c r="I1309" s="9" t="s">
        <v>2206</v>
      </c>
      <c r="J1309" s="9" t="s">
        <v>4969</v>
      </c>
      <c r="K1309" s="9" t="s">
        <v>714</v>
      </c>
      <c r="L1309" s="9" t="s">
        <v>4970</v>
      </c>
      <c r="M1309" s="9">
        <v>63</v>
      </c>
      <c r="N1309" s="9">
        <v>20</v>
      </c>
      <c r="O1309" s="9" t="s">
        <v>850</v>
      </c>
      <c r="P1309" s="9" t="s">
        <v>43</v>
      </c>
      <c r="Q1309" s="9">
        <v>3</v>
      </c>
      <c r="R1309" s="9">
        <v>0</v>
      </c>
      <c r="S1309" s="9">
        <v>3</v>
      </c>
      <c r="T1309" s="9">
        <v>3</v>
      </c>
      <c r="U1309" s="9">
        <v>0</v>
      </c>
      <c r="V1309" s="9" t="s">
        <v>114</v>
      </c>
      <c r="W1309" s="9">
        <v>0</v>
      </c>
      <c r="X1309" s="9">
        <v>0</v>
      </c>
      <c r="Y1309" s="9">
        <v>0</v>
      </c>
      <c r="Z1309" s="9">
        <v>0</v>
      </c>
      <c r="AA1309" s="9">
        <v>4</v>
      </c>
      <c r="AB1309" s="9">
        <v>5</v>
      </c>
      <c r="AC1309" s="9">
        <v>14</v>
      </c>
      <c r="AD1309" s="9" t="s">
        <v>0</v>
      </c>
      <c r="AE1309" s="9" t="s">
        <v>0</v>
      </c>
    </row>
    <row r="1310" spans="1:31" ht="51" x14ac:dyDescent="0.2">
      <c r="A1310" s="6" t="str">
        <f>HYPERLINK("http://www.patentics.cn/invokexml.do?sx=showpatent_cn&amp;sf=ShowPatent&amp;spn=CN101335587&amp;sx=showpatent_cn&amp;sv=f902e09fc5f0e20189e1660fdd8be78f","CN101335587")</f>
        <v>CN101335587</v>
      </c>
      <c r="B1310" s="7" t="s">
        <v>6687</v>
      </c>
      <c r="C1310" s="7" t="s">
        <v>6688</v>
      </c>
      <c r="D1310" s="7" t="s">
        <v>3483</v>
      </c>
      <c r="E1310" s="7" t="s">
        <v>3483</v>
      </c>
      <c r="F1310" s="7" t="s">
        <v>6689</v>
      </c>
      <c r="G1310" s="7" t="s">
        <v>6690</v>
      </c>
      <c r="H1310" s="7" t="s">
        <v>987</v>
      </c>
      <c r="I1310" s="7" t="s">
        <v>987</v>
      </c>
      <c r="J1310" s="7" t="s">
        <v>999</v>
      </c>
      <c r="K1310" s="7" t="s">
        <v>40</v>
      </c>
      <c r="L1310" s="7" t="s">
        <v>1128</v>
      </c>
      <c r="M1310" s="7">
        <v>4</v>
      </c>
      <c r="N1310" s="7">
        <v>30</v>
      </c>
      <c r="O1310" s="7" t="s">
        <v>42</v>
      </c>
      <c r="P1310" s="7" t="s">
        <v>43</v>
      </c>
      <c r="Q1310" s="7">
        <v>0</v>
      </c>
      <c r="R1310" s="7">
        <v>0</v>
      </c>
      <c r="S1310" s="7">
        <v>0</v>
      </c>
      <c r="T1310" s="7">
        <v>0</v>
      </c>
      <c r="U1310" s="7">
        <v>10</v>
      </c>
      <c r="V1310" s="7" t="s">
        <v>6691</v>
      </c>
      <c r="W1310" s="7">
        <v>4</v>
      </c>
      <c r="X1310" s="7">
        <v>6</v>
      </c>
      <c r="Y1310" s="7">
        <v>6</v>
      </c>
      <c r="Z1310" s="7">
        <v>3</v>
      </c>
      <c r="AA1310" s="7">
        <v>1</v>
      </c>
      <c r="AB1310" s="7">
        <v>1</v>
      </c>
      <c r="AC1310" s="7" t="s">
        <v>0</v>
      </c>
      <c r="AD1310" s="7">
        <v>1</v>
      </c>
      <c r="AE1310" s="7" t="s">
        <v>532</v>
      </c>
    </row>
    <row r="1311" spans="1:31" ht="25.5" x14ac:dyDescent="0.2">
      <c r="A1311" s="8" t="str">
        <f>HYPERLINK("http://www.patentics.cn/invokexml.do?sx=showpatent_cn&amp;sf=ShowPatent&amp;spn=CN101902319B&amp;sx=showpatent_cn&amp;sv=27f828e6ed99fbc4a782942672843f17","CN101902319B")</f>
        <v>CN101902319B</v>
      </c>
      <c r="B1311" s="9" t="s">
        <v>6692</v>
      </c>
      <c r="C1311" s="9" t="s">
        <v>6693</v>
      </c>
      <c r="D1311" s="9" t="s">
        <v>3082</v>
      </c>
      <c r="E1311" s="9" t="s">
        <v>301</v>
      </c>
      <c r="F1311" s="9" t="s">
        <v>6694</v>
      </c>
      <c r="G1311" s="9" t="s">
        <v>6695</v>
      </c>
      <c r="H1311" s="9" t="s">
        <v>6696</v>
      </c>
      <c r="I1311" s="9" t="s">
        <v>6696</v>
      </c>
      <c r="J1311" s="9" t="s">
        <v>6697</v>
      </c>
      <c r="K1311" s="9" t="s">
        <v>68</v>
      </c>
      <c r="L1311" s="9" t="s">
        <v>6698</v>
      </c>
      <c r="M1311" s="9">
        <v>1</v>
      </c>
      <c r="N1311" s="9">
        <v>16</v>
      </c>
      <c r="O1311" s="9" t="s">
        <v>57</v>
      </c>
      <c r="P1311" s="9" t="s">
        <v>43</v>
      </c>
      <c r="Q1311" s="9">
        <v>3</v>
      </c>
      <c r="R1311" s="9">
        <v>0</v>
      </c>
      <c r="S1311" s="9">
        <v>3</v>
      </c>
      <c r="T1311" s="9">
        <v>3</v>
      </c>
      <c r="U1311" s="9">
        <v>0</v>
      </c>
      <c r="V1311" s="9" t="s">
        <v>114</v>
      </c>
      <c r="W1311" s="9">
        <v>0</v>
      </c>
      <c r="X1311" s="9">
        <v>0</v>
      </c>
      <c r="Y1311" s="9">
        <v>0</v>
      </c>
      <c r="Z1311" s="9">
        <v>0</v>
      </c>
      <c r="AA1311" s="9">
        <v>1</v>
      </c>
      <c r="AB1311" s="9">
        <v>1</v>
      </c>
      <c r="AC1311" s="9">
        <v>14</v>
      </c>
      <c r="AD1311" s="9" t="s">
        <v>0</v>
      </c>
      <c r="AE1311" s="9" t="s">
        <v>60</v>
      </c>
    </row>
    <row r="1312" spans="1:31" ht="51" x14ac:dyDescent="0.2">
      <c r="A1312" s="6" t="str">
        <f>HYPERLINK("http://www.patentics.cn/invokexml.do?sx=showpatent_cn&amp;sf=ShowPatent&amp;spn=CN101335557&amp;sx=showpatent_cn&amp;sv=287ab441939e6461fd8692934455d6f9","CN101335557")</f>
        <v>CN101335557</v>
      </c>
      <c r="B1312" s="7" t="s">
        <v>6699</v>
      </c>
      <c r="C1312" s="7" t="s">
        <v>6700</v>
      </c>
      <c r="D1312" s="7" t="s">
        <v>6701</v>
      </c>
      <c r="E1312" s="7" t="s">
        <v>6702</v>
      </c>
      <c r="F1312" s="7" t="s">
        <v>6703</v>
      </c>
      <c r="G1312" s="7" t="s">
        <v>6704</v>
      </c>
      <c r="H1312" s="7" t="s">
        <v>6705</v>
      </c>
      <c r="I1312" s="7" t="s">
        <v>6705</v>
      </c>
      <c r="J1312" s="7" t="s">
        <v>999</v>
      </c>
      <c r="K1312" s="7" t="s">
        <v>89</v>
      </c>
      <c r="L1312" s="7" t="s">
        <v>294</v>
      </c>
      <c r="M1312" s="7">
        <v>8</v>
      </c>
      <c r="N1312" s="7">
        <v>20</v>
      </c>
      <c r="O1312" s="7" t="s">
        <v>42</v>
      </c>
      <c r="P1312" s="7" t="s">
        <v>43</v>
      </c>
      <c r="Q1312" s="7">
        <v>0</v>
      </c>
      <c r="R1312" s="7">
        <v>0</v>
      </c>
      <c r="S1312" s="7">
        <v>0</v>
      </c>
      <c r="T1312" s="7">
        <v>0</v>
      </c>
      <c r="U1312" s="7">
        <v>4</v>
      </c>
      <c r="V1312" s="7" t="s">
        <v>2437</v>
      </c>
      <c r="W1312" s="7">
        <v>0</v>
      </c>
      <c r="X1312" s="7">
        <v>4</v>
      </c>
      <c r="Y1312" s="7">
        <v>3</v>
      </c>
      <c r="Z1312" s="7">
        <v>2</v>
      </c>
      <c r="AA1312" s="7">
        <v>1</v>
      </c>
      <c r="AB1312" s="7">
        <v>1</v>
      </c>
      <c r="AC1312" s="7" t="s">
        <v>0</v>
      </c>
      <c r="AD1312" s="7">
        <v>1</v>
      </c>
      <c r="AE1312" s="7" t="s">
        <v>60</v>
      </c>
    </row>
    <row r="1313" spans="1:31" ht="63.75" x14ac:dyDescent="0.2">
      <c r="A1313" s="8" t="str">
        <f>HYPERLINK("http://www.patentics.cn/invokexml.do?sx=showpatent_cn&amp;sf=ShowPatent&amp;spn=WO2014198226&amp;sx=showpatent_cn&amp;sv=9da5213d563bf3b169690f5b7c22e16b","WO2014198226")</f>
        <v>WO2014198226</v>
      </c>
      <c r="B1313" s="9" t="s">
        <v>2235</v>
      </c>
      <c r="C1313" s="9" t="s">
        <v>2236</v>
      </c>
      <c r="D1313" s="9" t="s">
        <v>117</v>
      </c>
      <c r="E1313" s="9" t="s">
        <v>49</v>
      </c>
      <c r="F1313" s="9" t="s">
        <v>2230</v>
      </c>
      <c r="G1313" s="9" t="s">
        <v>2231</v>
      </c>
      <c r="H1313" s="9" t="s">
        <v>2232</v>
      </c>
      <c r="I1313" s="9" t="s">
        <v>2237</v>
      </c>
      <c r="J1313" s="9" t="s">
        <v>2233</v>
      </c>
      <c r="K1313" s="9" t="s">
        <v>55</v>
      </c>
      <c r="L1313" s="9" t="s">
        <v>2234</v>
      </c>
      <c r="M1313" s="9">
        <v>30</v>
      </c>
      <c r="N1313" s="9">
        <v>14</v>
      </c>
      <c r="O1313" s="9" t="s">
        <v>850</v>
      </c>
      <c r="P1313" s="9" t="s">
        <v>43</v>
      </c>
      <c r="Q1313" s="9">
        <v>4</v>
      </c>
      <c r="R1313" s="9">
        <v>0</v>
      </c>
      <c r="S1313" s="9">
        <v>4</v>
      </c>
      <c r="T1313" s="9">
        <v>4</v>
      </c>
      <c r="U1313" s="9">
        <v>0</v>
      </c>
      <c r="V1313" s="9" t="s">
        <v>114</v>
      </c>
      <c r="W1313" s="9">
        <v>0</v>
      </c>
      <c r="X1313" s="9">
        <v>0</v>
      </c>
      <c r="Y1313" s="9">
        <v>0</v>
      </c>
      <c r="Z1313" s="9">
        <v>0</v>
      </c>
      <c r="AA1313" s="9">
        <v>2</v>
      </c>
      <c r="AB1313" s="9">
        <v>2</v>
      </c>
      <c r="AC1313" s="9">
        <v>14</v>
      </c>
      <c r="AD1313" s="9" t="s">
        <v>0</v>
      </c>
      <c r="AE1313" s="9" t="s">
        <v>0</v>
      </c>
    </row>
    <row r="1314" spans="1:31" ht="38.25" x14ac:dyDescent="0.2">
      <c r="A1314" s="6" t="str">
        <f>HYPERLINK("http://www.patentics.cn/invokexml.do?sx=showpatent_cn&amp;sf=ShowPatent&amp;spn=CN101291511&amp;sx=showpatent_cn&amp;sv=f122f2e05090b68772161fc24ea389ce","CN101291511")</f>
        <v>CN101291511</v>
      </c>
      <c r="B1314" s="7" t="s">
        <v>6706</v>
      </c>
      <c r="C1314" s="7" t="s">
        <v>6707</v>
      </c>
      <c r="D1314" s="7" t="s">
        <v>1097</v>
      </c>
      <c r="E1314" s="7" t="s">
        <v>1097</v>
      </c>
      <c r="F1314" s="7" t="s">
        <v>6708</v>
      </c>
      <c r="G1314" s="7" t="s">
        <v>6709</v>
      </c>
      <c r="H1314" s="7" t="s">
        <v>6710</v>
      </c>
      <c r="I1314" s="7" t="s">
        <v>6710</v>
      </c>
      <c r="J1314" s="7" t="s">
        <v>6711</v>
      </c>
      <c r="K1314" s="7" t="s">
        <v>96</v>
      </c>
      <c r="L1314" s="7" t="s">
        <v>313</v>
      </c>
      <c r="M1314" s="7">
        <v>7</v>
      </c>
      <c r="N1314" s="7">
        <v>23</v>
      </c>
      <c r="O1314" s="7" t="s">
        <v>42</v>
      </c>
      <c r="P1314" s="7" t="s">
        <v>43</v>
      </c>
      <c r="Q1314" s="7">
        <v>0</v>
      </c>
      <c r="R1314" s="7">
        <v>0</v>
      </c>
      <c r="S1314" s="7">
        <v>0</v>
      </c>
      <c r="T1314" s="7">
        <v>0</v>
      </c>
      <c r="U1314" s="7">
        <v>4</v>
      </c>
      <c r="V1314" s="7" t="s">
        <v>6712</v>
      </c>
      <c r="W1314" s="7">
        <v>0</v>
      </c>
      <c r="X1314" s="7">
        <v>4</v>
      </c>
      <c r="Y1314" s="7">
        <v>3</v>
      </c>
      <c r="Z1314" s="7">
        <v>1</v>
      </c>
      <c r="AA1314" s="7">
        <v>1</v>
      </c>
      <c r="AB1314" s="7">
        <v>1</v>
      </c>
      <c r="AC1314" s="7" t="s">
        <v>0</v>
      </c>
      <c r="AD1314" s="7">
        <v>1</v>
      </c>
      <c r="AE1314" s="7" t="s">
        <v>532</v>
      </c>
    </row>
    <row r="1315" spans="1:31" ht="25.5" x14ac:dyDescent="0.2">
      <c r="A1315" s="8" t="str">
        <f>HYPERLINK("http://www.patentics.cn/invokexml.do?sx=showpatent_cn&amp;sf=ShowPatent&amp;spn=CN101841505B&amp;sx=showpatent_cn&amp;sv=c947649d6675c770528424753e57653d","CN101841505B")</f>
        <v>CN101841505B</v>
      </c>
      <c r="B1315" s="9" t="s">
        <v>6713</v>
      </c>
      <c r="C1315" s="9" t="s">
        <v>6714</v>
      </c>
      <c r="D1315" s="9" t="s">
        <v>6715</v>
      </c>
      <c r="E1315" s="9" t="s">
        <v>301</v>
      </c>
      <c r="F1315" s="9" t="s">
        <v>6716</v>
      </c>
      <c r="G1315" s="9" t="s">
        <v>6717</v>
      </c>
      <c r="H1315" s="9" t="s">
        <v>6533</v>
      </c>
      <c r="I1315" s="9" t="s">
        <v>6533</v>
      </c>
      <c r="J1315" s="9" t="s">
        <v>1423</v>
      </c>
      <c r="K1315" s="9" t="s">
        <v>68</v>
      </c>
      <c r="L1315" s="9" t="s">
        <v>281</v>
      </c>
      <c r="M1315" s="9">
        <v>4</v>
      </c>
      <c r="N1315" s="9">
        <v>26</v>
      </c>
      <c r="O1315" s="9" t="s">
        <v>57</v>
      </c>
      <c r="P1315" s="9" t="s">
        <v>43</v>
      </c>
      <c r="Q1315" s="9">
        <v>4</v>
      </c>
      <c r="R1315" s="9">
        <v>1</v>
      </c>
      <c r="S1315" s="9">
        <v>3</v>
      </c>
      <c r="T1315" s="9">
        <v>4</v>
      </c>
      <c r="U1315" s="9">
        <v>0</v>
      </c>
      <c r="V1315" s="9" t="s">
        <v>114</v>
      </c>
      <c r="W1315" s="9">
        <v>0</v>
      </c>
      <c r="X1315" s="9">
        <v>0</v>
      </c>
      <c r="Y1315" s="9">
        <v>0</v>
      </c>
      <c r="Z1315" s="9">
        <v>0</v>
      </c>
      <c r="AA1315" s="9">
        <v>1</v>
      </c>
      <c r="AB1315" s="9">
        <v>1</v>
      </c>
      <c r="AC1315" s="9">
        <v>14</v>
      </c>
      <c r="AD1315" s="9" t="s">
        <v>0</v>
      </c>
      <c r="AE1315" s="9" t="s">
        <v>532</v>
      </c>
    </row>
    <row r="1316" spans="1:31" ht="38.25" x14ac:dyDescent="0.2">
      <c r="A1316" s="6" t="str">
        <f>HYPERLINK("http://www.patentics.cn/invokexml.do?sx=showpatent_cn&amp;sf=ShowPatent&amp;spn=CN101287143&amp;sx=showpatent_cn&amp;sv=f19d3daa240cbb63045c4ba73160e771","CN101287143")</f>
        <v>CN101287143</v>
      </c>
      <c r="B1316" s="7" t="s">
        <v>6718</v>
      </c>
      <c r="C1316" s="7" t="s">
        <v>6719</v>
      </c>
      <c r="D1316" s="7" t="s">
        <v>1383</v>
      </c>
      <c r="E1316" s="7" t="s">
        <v>1383</v>
      </c>
      <c r="F1316" s="7" t="s">
        <v>6720</v>
      </c>
      <c r="G1316" s="7" t="s">
        <v>1730</v>
      </c>
      <c r="H1316" s="7" t="s">
        <v>6643</v>
      </c>
      <c r="I1316" s="7" t="s">
        <v>6643</v>
      </c>
      <c r="J1316" s="7" t="s">
        <v>1831</v>
      </c>
      <c r="K1316" s="7" t="s">
        <v>714</v>
      </c>
      <c r="L1316" s="7" t="s">
        <v>3448</v>
      </c>
      <c r="M1316" s="7">
        <v>4</v>
      </c>
      <c r="N1316" s="7">
        <v>43</v>
      </c>
      <c r="O1316" s="7" t="s">
        <v>42</v>
      </c>
      <c r="P1316" s="7" t="s">
        <v>43</v>
      </c>
      <c r="Q1316" s="7">
        <v>0</v>
      </c>
      <c r="R1316" s="7">
        <v>0</v>
      </c>
      <c r="S1316" s="7">
        <v>0</v>
      </c>
      <c r="T1316" s="7">
        <v>0</v>
      </c>
      <c r="U1316" s="7">
        <v>16</v>
      </c>
      <c r="V1316" s="7" t="s">
        <v>6721</v>
      </c>
      <c r="W1316" s="7">
        <v>6</v>
      </c>
      <c r="X1316" s="7">
        <v>10</v>
      </c>
      <c r="Y1316" s="7">
        <v>9</v>
      </c>
      <c r="Z1316" s="7">
        <v>1</v>
      </c>
      <c r="AA1316" s="7">
        <v>1</v>
      </c>
      <c r="AB1316" s="7">
        <v>1</v>
      </c>
      <c r="AC1316" s="7" t="s">
        <v>0</v>
      </c>
      <c r="AD1316" s="7">
        <v>1</v>
      </c>
      <c r="AE1316" s="7" t="s">
        <v>60</v>
      </c>
    </row>
    <row r="1317" spans="1:31" ht="25.5" x14ac:dyDescent="0.2">
      <c r="A1317" s="8" t="str">
        <f>HYPERLINK("http://www.patentics.cn/invokexml.do?sx=showpatent_cn&amp;sf=ShowPatent&amp;spn=CN104246822B&amp;sx=showpatent_cn&amp;sv=8c366de568d16d81bf098c788444a4b4","CN104246822B")</f>
        <v>CN104246822B</v>
      </c>
      <c r="B1317" s="9" t="s">
        <v>6722</v>
      </c>
      <c r="C1317" s="9" t="s">
        <v>6723</v>
      </c>
      <c r="D1317" s="9" t="s">
        <v>301</v>
      </c>
      <c r="E1317" s="9" t="s">
        <v>301</v>
      </c>
      <c r="F1317" s="9" t="s">
        <v>6724</v>
      </c>
      <c r="G1317" s="9" t="s">
        <v>6724</v>
      </c>
      <c r="H1317" s="9" t="s">
        <v>6725</v>
      </c>
      <c r="I1317" s="9" t="s">
        <v>6726</v>
      </c>
      <c r="J1317" s="9" t="s">
        <v>3404</v>
      </c>
      <c r="K1317" s="9" t="s">
        <v>2163</v>
      </c>
      <c r="L1317" s="9" t="s">
        <v>3239</v>
      </c>
      <c r="M1317" s="9">
        <v>22</v>
      </c>
      <c r="N1317" s="9">
        <v>13</v>
      </c>
      <c r="O1317" s="9" t="s">
        <v>57</v>
      </c>
      <c r="P1317" s="9" t="s">
        <v>58</v>
      </c>
      <c r="Q1317" s="9">
        <v>4</v>
      </c>
      <c r="R1317" s="9">
        <v>0</v>
      </c>
      <c r="S1317" s="9">
        <v>4</v>
      </c>
      <c r="T1317" s="9">
        <v>3</v>
      </c>
      <c r="U1317" s="9">
        <v>0</v>
      </c>
      <c r="V1317" s="9" t="s">
        <v>114</v>
      </c>
      <c r="W1317" s="9">
        <v>0</v>
      </c>
      <c r="X1317" s="9">
        <v>0</v>
      </c>
      <c r="Y1317" s="9">
        <v>0</v>
      </c>
      <c r="Z1317" s="9">
        <v>0</v>
      </c>
      <c r="AA1317" s="9">
        <v>0</v>
      </c>
      <c r="AB1317" s="9">
        <v>0</v>
      </c>
      <c r="AC1317" s="9">
        <v>14</v>
      </c>
      <c r="AD1317" s="9" t="s">
        <v>0</v>
      </c>
      <c r="AE1317" s="9" t="s">
        <v>60</v>
      </c>
    </row>
    <row r="1318" spans="1:31" ht="89.25" x14ac:dyDescent="0.2">
      <c r="A1318" s="6" t="str">
        <f>HYPERLINK("http://www.patentics.cn/invokexml.do?sx=showpatent_cn&amp;sf=ShowPatent&amp;spn=CN101286138&amp;sx=showpatent_cn&amp;sv=3cdaf7fa48614326a338cabdf65169cc","CN101286138")</f>
        <v>CN101286138</v>
      </c>
      <c r="B1318" s="7" t="s">
        <v>6727</v>
      </c>
      <c r="C1318" s="7" t="s">
        <v>6728</v>
      </c>
      <c r="D1318" s="7" t="s">
        <v>923</v>
      </c>
      <c r="E1318" s="7" t="s">
        <v>923</v>
      </c>
      <c r="F1318" s="7" t="s">
        <v>6729</v>
      </c>
      <c r="G1318" s="7" t="s">
        <v>1783</v>
      </c>
      <c r="H1318" s="7" t="s">
        <v>0</v>
      </c>
      <c r="I1318" s="7" t="s">
        <v>6730</v>
      </c>
      <c r="J1318" s="7" t="s">
        <v>1831</v>
      </c>
      <c r="K1318" s="7" t="s">
        <v>885</v>
      </c>
      <c r="L1318" s="7" t="s">
        <v>6731</v>
      </c>
      <c r="M1318" s="7">
        <v>1</v>
      </c>
      <c r="N1318" s="7">
        <v>25</v>
      </c>
      <c r="O1318" s="7" t="s">
        <v>42</v>
      </c>
      <c r="P1318" s="7" t="s">
        <v>43</v>
      </c>
      <c r="Q1318" s="7">
        <v>0</v>
      </c>
      <c r="R1318" s="7">
        <v>0</v>
      </c>
      <c r="S1318" s="7">
        <v>0</v>
      </c>
      <c r="T1318" s="7">
        <v>0</v>
      </c>
      <c r="U1318" s="7">
        <v>6</v>
      </c>
      <c r="V1318" s="7" t="s">
        <v>6732</v>
      </c>
      <c r="W1318" s="7">
        <v>0</v>
      </c>
      <c r="X1318" s="7">
        <v>6</v>
      </c>
      <c r="Y1318" s="7">
        <v>4</v>
      </c>
      <c r="Z1318" s="7">
        <v>3</v>
      </c>
      <c r="AA1318" s="7">
        <v>0</v>
      </c>
      <c r="AB1318" s="7">
        <v>0</v>
      </c>
      <c r="AC1318" s="7" t="s">
        <v>0</v>
      </c>
      <c r="AD1318" s="7">
        <v>1</v>
      </c>
      <c r="AE1318" s="7" t="s">
        <v>45</v>
      </c>
    </row>
    <row r="1319" spans="1:31" ht="114.75" x14ac:dyDescent="0.2">
      <c r="A1319" s="8" t="str">
        <f>HYPERLINK("http://www.patentics.cn/invokexml.do?sx=showpatent_cn&amp;sf=ShowPatent&amp;spn=CN104272278B&amp;sx=showpatent_cn&amp;sv=3df7847838a6c34f7cff124c76713b51","CN104272278B")</f>
        <v>CN104272278B</v>
      </c>
      <c r="B1319" s="9" t="s">
        <v>6733</v>
      </c>
      <c r="C1319" s="9" t="s">
        <v>6734</v>
      </c>
      <c r="D1319" s="9" t="s">
        <v>301</v>
      </c>
      <c r="E1319" s="9" t="s">
        <v>301</v>
      </c>
      <c r="F1319" s="9" t="s">
        <v>6735</v>
      </c>
      <c r="G1319" s="9" t="s">
        <v>3605</v>
      </c>
      <c r="H1319" s="9" t="s">
        <v>6736</v>
      </c>
      <c r="I1319" s="9" t="s">
        <v>3257</v>
      </c>
      <c r="J1319" s="9" t="s">
        <v>1877</v>
      </c>
      <c r="K1319" s="9" t="s">
        <v>885</v>
      </c>
      <c r="L1319" s="9" t="s">
        <v>6737</v>
      </c>
      <c r="M1319" s="9">
        <v>11</v>
      </c>
      <c r="N1319" s="9">
        <v>17</v>
      </c>
      <c r="O1319" s="9" t="s">
        <v>57</v>
      </c>
      <c r="P1319" s="9" t="s">
        <v>58</v>
      </c>
      <c r="Q1319" s="9">
        <v>6</v>
      </c>
      <c r="R1319" s="9">
        <v>1</v>
      </c>
      <c r="S1319" s="9">
        <v>5</v>
      </c>
      <c r="T1319" s="9">
        <v>6</v>
      </c>
      <c r="U1319" s="9">
        <v>0</v>
      </c>
      <c r="V1319" s="9" t="s">
        <v>114</v>
      </c>
      <c r="W1319" s="9">
        <v>0</v>
      </c>
      <c r="X1319" s="9">
        <v>0</v>
      </c>
      <c r="Y1319" s="9">
        <v>0</v>
      </c>
      <c r="Z1319" s="9">
        <v>0</v>
      </c>
      <c r="AA1319" s="9">
        <v>0</v>
      </c>
      <c r="AB1319" s="9">
        <v>0</v>
      </c>
      <c r="AC1319" s="9">
        <v>14</v>
      </c>
      <c r="AD1319" s="9" t="s">
        <v>0</v>
      </c>
      <c r="AE1319" s="9" t="s">
        <v>60</v>
      </c>
    </row>
    <row r="1320" spans="1:31" ht="51" x14ac:dyDescent="0.2">
      <c r="A1320" s="6" t="str">
        <f>HYPERLINK("http://www.patentics.cn/invokexml.do?sx=showpatent_cn&amp;sf=ShowPatent&amp;spn=CN101286824&amp;sx=showpatent_cn&amp;sv=c340c36a26721a30cd188680db06b009","CN101286824")</f>
        <v>CN101286824</v>
      </c>
      <c r="B1320" s="7" t="s">
        <v>6738</v>
      </c>
      <c r="C1320" s="7" t="s">
        <v>6739</v>
      </c>
      <c r="D1320" s="7" t="s">
        <v>6740</v>
      </c>
      <c r="E1320" s="7" t="s">
        <v>6740</v>
      </c>
      <c r="F1320" s="7" t="s">
        <v>6741</v>
      </c>
      <c r="G1320" s="7" t="s">
        <v>6742</v>
      </c>
      <c r="H1320" s="7" t="s">
        <v>6743</v>
      </c>
      <c r="I1320" s="7" t="s">
        <v>6743</v>
      </c>
      <c r="J1320" s="7" t="s">
        <v>1831</v>
      </c>
      <c r="K1320" s="7" t="s">
        <v>68</v>
      </c>
      <c r="L1320" s="7" t="s">
        <v>211</v>
      </c>
      <c r="M1320" s="7">
        <v>23</v>
      </c>
      <c r="N1320" s="7">
        <v>14</v>
      </c>
      <c r="O1320" s="7" t="s">
        <v>42</v>
      </c>
      <c r="P1320" s="7" t="s">
        <v>43</v>
      </c>
      <c r="Q1320" s="7">
        <v>0</v>
      </c>
      <c r="R1320" s="7">
        <v>0</v>
      </c>
      <c r="S1320" s="7">
        <v>0</v>
      </c>
      <c r="T1320" s="7">
        <v>0</v>
      </c>
      <c r="U1320" s="7">
        <v>33</v>
      </c>
      <c r="V1320" s="7" t="s">
        <v>6744</v>
      </c>
      <c r="W1320" s="7">
        <v>1</v>
      </c>
      <c r="X1320" s="7">
        <v>32</v>
      </c>
      <c r="Y1320" s="7">
        <v>11</v>
      </c>
      <c r="Z1320" s="7">
        <v>4</v>
      </c>
      <c r="AA1320" s="7">
        <v>1</v>
      </c>
      <c r="AB1320" s="7">
        <v>1</v>
      </c>
      <c r="AC1320" s="7" t="s">
        <v>0</v>
      </c>
      <c r="AD1320" s="7">
        <v>1</v>
      </c>
      <c r="AE1320" s="7" t="s">
        <v>532</v>
      </c>
    </row>
    <row r="1321" spans="1:31" ht="51" x14ac:dyDescent="0.2">
      <c r="A1321" s="8" t="str">
        <f>HYPERLINK("http://www.patentics.cn/invokexml.do?sx=showpatent_cn&amp;sf=ShowPatent&amp;spn=US8923143&amp;sx=showpatent_cn&amp;sv=ec34de48b2f4bc98b63f6b77a4ad1e29","US8923143")</f>
        <v>US8923143</v>
      </c>
      <c r="B1321" s="9" t="s">
        <v>6745</v>
      </c>
      <c r="C1321" s="9" t="s">
        <v>6746</v>
      </c>
      <c r="D1321" s="9" t="s">
        <v>48</v>
      </c>
      <c r="E1321" s="9" t="s">
        <v>49</v>
      </c>
      <c r="F1321" s="9" t="s">
        <v>6747</v>
      </c>
      <c r="G1321" s="9" t="s">
        <v>6748</v>
      </c>
      <c r="H1321" s="9" t="s">
        <v>6749</v>
      </c>
      <c r="I1321" s="9" t="s">
        <v>6100</v>
      </c>
      <c r="J1321" s="9" t="s">
        <v>411</v>
      </c>
      <c r="K1321" s="9" t="s">
        <v>40</v>
      </c>
      <c r="L1321" s="9" t="s">
        <v>4306</v>
      </c>
      <c r="M1321" s="9">
        <v>33</v>
      </c>
      <c r="N1321" s="9">
        <v>13</v>
      </c>
      <c r="O1321" s="9" t="s">
        <v>57</v>
      </c>
      <c r="P1321" s="9" t="s">
        <v>58</v>
      </c>
      <c r="Q1321" s="9">
        <v>27</v>
      </c>
      <c r="R1321" s="9">
        <v>2</v>
      </c>
      <c r="S1321" s="9">
        <v>25</v>
      </c>
      <c r="T1321" s="9">
        <v>12</v>
      </c>
      <c r="U1321" s="9">
        <v>1</v>
      </c>
      <c r="V1321" s="9" t="s">
        <v>70</v>
      </c>
      <c r="W1321" s="9">
        <v>1</v>
      </c>
      <c r="X1321" s="9">
        <v>0</v>
      </c>
      <c r="Y1321" s="9">
        <v>1</v>
      </c>
      <c r="Z1321" s="9">
        <v>1</v>
      </c>
      <c r="AA1321" s="9">
        <v>9</v>
      </c>
      <c r="AB1321" s="9">
        <v>7</v>
      </c>
      <c r="AC1321" s="9">
        <v>14</v>
      </c>
      <c r="AD1321" s="9" t="s">
        <v>0</v>
      </c>
      <c r="AE1321" s="9" t="s">
        <v>60</v>
      </c>
    </row>
    <row r="1322" spans="1:31" ht="25.5" x14ac:dyDescent="0.2">
      <c r="A1322" s="6" t="str">
        <f>HYPERLINK("http://www.patentics.cn/invokexml.do?sx=showpatent_cn&amp;sf=ShowPatent&amp;spn=CN101282204&amp;sx=showpatent_cn&amp;sv=b329659484ca7b79603abb7473afe71c","CN101282204")</f>
        <v>CN101282204</v>
      </c>
      <c r="B1322" s="7" t="s">
        <v>6750</v>
      </c>
      <c r="C1322" s="7" t="s">
        <v>6751</v>
      </c>
      <c r="D1322" s="7" t="s">
        <v>3430</v>
      </c>
      <c r="E1322" s="7" t="s">
        <v>3430</v>
      </c>
      <c r="F1322" s="7" t="s">
        <v>6752</v>
      </c>
      <c r="G1322" s="7" t="s">
        <v>5571</v>
      </c>
      <c r="H1322" s="7" t="s">
        <v>537</v>
      </c>
      <c r="I1322" s="7" t="s">
        <v>537</v>
      </c>
      <c r="J1322" s="7" t="s">
        <v>6753</v>
      </c>
      <c r="K1322" s="7" t="s">
        <v>68</v>
      </c>
      <c r="L1322" s="7" t="s">
        <v>327</v>
      </c>
      <c r="M1322" s="7">
        <v>3</v>
      </c>
      <c r="N1322" s="7">
        <v>27</v>
      </c>
      <c r="O1322" s="7" t="s">
        <v>42</v>
      </c>
      <c r="P1322" s="7" t="s">
        <v>43</v>
      </c>
      <c r="Q1322" s="7">
        <v>0</v>
      </c>
      <c r="R1322" s="7">
        <v>0</v>
      </c>
      <c r="S1322" s="7">
        <v>0</v>
      </c>
      <c r="T1322" s="7">
        <v>0</v>
      </c>
      <c r="U1322" s="7">
        <v>23</v>
      </c>
      <c r="V1322" s="7" t="s">
        <v>6754</v>
      </c>
      <c r="W1322" s="7">
        <v>0</v>
      </c>
      <c r="X1322" s="7">
        <v>23</v>
      </c>
      <c r="Y1322" s="7">
        <v>10</v>
      </c>
      <c r="Z1322" s="7">
        <v>3</v>
      </c>
      <c r="AA1322" s="7">
        <v>1</v>
      </c>
      <c r="AB1322" s="7">
        <v>1</v>
      </c>
      <c r="AC1322" s="7" t="s">
        <v>0</v>
      </c>
      <c r="AD1322" s="7">
        <v>1</v>
      </c>
      <c r="AE1322" s="7" t="s">
        <v>60</v>
      </c>
    </row>
    <row r="1323" spans="1:31" ht="51" x14ac:dyDescent="0.2">
      <c r="A1323" s="8" t="str">
        <f>HYPERLINK("http://www.patentics.cn/invokexml.do?sx=showpatent_cn&amp;sf=ShowPatent&amp;spn=US8934395&amp;sx=showpatent_cn&amp;sv=0899cdad6e23733e2fe90a6444779d97","US8934395")</f>
        <v>US8934395</v>
      </c>
      <c r="B1323" s="9" t="s">
        <v>6755</v>
      </c>
      <c r="C1323" s="9" t="s">
        <v>6756</v>
      </c>
      <c r="D1323" s="9" t="s">
        <v>48</v>
      </c>
      <c r="E1323" s="9" t="s">
        <v>49</v>
      </c>
      <c r="F1323" s="9" t="s">
        <v>6757</v>
      </c>
      <c r="G1323" s="9" t="s">
        <v>255</v>
      </c>
      <c r="H1323" s="9" t="s">
        <v>6758</v>
      </c>
      <c r="I1323" s="9" t="s">
        <v>6759</v>
      </c>
      <c r="J1323" s="9" t="s">
        <v>4998</v>
      </c>
      <c r="K1323" s="9" t="s">
        <v>40</v>
      </c>
      <c r="L1323" s="9" t="s">
        <v>6760</v>
      </c>
      <c r="M1323" s="9">
        <v>25</v>
      </c>
      <c r="N1323" s="9">
        <v>15</v>
      </c>
      <c r="O1323" s="9" t="s">
        <v>57</v>
      </c>
      <c r="P1323" s="9" t="s">
        <v>58</v>
      </c>
      <c r="Q1323" s="9">
        <v>19</v>
      </c>
      <c r="R1323" s="9">
        <v>4</v>
      </c>
      <c r="S1323" s="9">
        <v>15</v>
      </c>
      <c r="T1323" s="9">
        <v>9</v>
      </c>
      <c r="U1323" s="9">
        <v>1</v>
      </c>
      <c r="V1323" s="9" t="s">
        <v>70</v>
      </c>
      <c r="W1323" s="9">
        <v>0</v>
      </c>
      <c r="X1323" s="9">
        <v>1</v>
      </c>
      <c r="Y1323" s="9">
        <v>1</v>
      </c>
      <c r="Z1323" s="9">
        <v>1</v>
      </c>
      <c r="AA1323" s="9">
        <v>11</v>
      </c>
      <c r="AB1323" s="9">
        <v>7</v>
      </c>
      <c r="AC1323" s="9">
        <v>14</v>
      </c>
      <c r="AD1323" s="9" t="s">
        <v>0</v>
      </c>
      <c r="AE1323" s="9" t="s">
        <v>60</v>
      </c>
    </row>
    <row r="1324" spans="1:31" ht="38.25" x14ac:dyDescent="0.2">
      <c r="A1324" s="6" t="str">
        <f>HYPERLINK("http://www.patentics.cn/invokexml.do?sx=showpatent_cn&amp;sf=ShowPatent&amp;spn=CN101282577&amp;sx=showpatent_cn&amp;sv=ee75474613b8b7821b29ad39946ee5ab","CN101282577")</f>
        <v>CN101282577</v>
      </c>
      <c r="B1324" s="7" t="s">
        <v>6761</v>
      </c>
      <c r="C1324" s="7" t="s">
        <v>6762</v>
      </c>
      <c r="D1324" s="7" t="s">
        <v>3430</v>
      </c>
      <c r="E1324" s="7" t="s">
        <v>3430</v>
      </c>
      <c r="F1324" s="7" t="s">
        <v>6763</v>
      </c>
      <c r="G1324" s="7" t="s">
        <v>6764</v>
      </c>
      <c r="H1324" s="7" t="s">
        <v>1890</v>
      </c>
      <c r="I1324" s="7" t="s">
        <v>1890</v>
      </c>
      <c r="J1324" s="7" t="s">
        <v>6753</v>
      </c>
      <c r="K1324" s="7" t="s">
        <v>96</v>
      </c>
      <c r="L1324" s="7" t="s">
        <v>1102</v>
      </c>
      <c r="M1324" s="7">
        <v>2</v>
      </c>
      <c r="N1324" s="7">
        <v>44</v>
      </c>
      <c r="O1324" s="7" t="s">
        <v>42</v>
      </c>
      <c r="P1324" s="7" t="s">
        <v>43</v>
      </c>
      <c r="Q1324" s="7">
        <v>0</v>
      </c>
      <c r="R1324" s="7">
        <v>0</v>
      </c>
      <c r="S1324" s="7">
        <v>0</v>
      </c>
      <c r="T1324" s="7">
        <v>0</v>
      </c>
      <c r="U1324" s="7">
        <v>6</v>
      </c>
      <c r="V1324" s="7" t="s">
        <v>4918</v>
      </c>
      <c r="W1324" s="7">
        <v>0</v>
      </c>
      <c r="X1324" s="7">
        <v>6</v>
      </c>
      <c r="Y1324" s="7">
        <v>4</v>
      </c>
      <c r="Z1324" s="7">
        <v>2</v>
      </c>
      <c r="AA1324" s="7">
        <v>1</v>
      </c>
      <c r="AB1324" s="7">
        <v>1</v>
      </c>
      <c r="AC1324" s="7" t="s">
        <v>0</v>
      </c>
      <c r="AD1324" s="7">
        <v>1</v>
      </c>
      <c r="AE1324" s="7" t="s">
        <v>532</v>
      </c>
    </row>
    <row r="1325" spans="1:31" ht="38.25" x14ac:dyDescent="0.2">
      <c r="A1325" s="8" t="str">
        <f>HYPERLINK("http://www.patentics.cn/invokexml.do?sx=showpatent_cn&amp;sf=ShowPatent&amp;spn=US9332383&amp;sx=showpatent_cn&amp;sv=95302435be3d167436a55655afc2752a","US9332383")</f>
        <v>US9332383</v>
      </c>
      <c r="B1325" s="9" t="s">
        <v>6102</v>
      </c>
      <c r="C1325" s="9" t="s">
        <v>6103</v>
      </c>
      <c r="D1325" s="9" t="s">
        <v>48</v>
      </c>
      <c r="E1325" s="9" t="s">
        <v>49</v>
      </c>
      <c r="F1325" s="9" t="s">
        <v>6104</v>
      </c>
      <c r="G1325" s="9" t="s">
        <v>6105</v>
      </c>
      <c r="H1325" s="9" t="s">
        <v>5563</v>
      </c>
      <c r="I1325" s="9" t="s">
        <v>2384</v>
      </c>
      <c r="J1325" s="9" t="s">
        <v>6106</v>
      </c>
      <c r="K1325" s="9" t="s">
        <v>55</v>
      </c>
      <c r="L1325" s="9" t="s">
        <v>1175</v>
      </c>
      <c r="M1325" s="9">
        <v>27</v>
      </c>
      <c r="N1325" s="9">
        <v>21</v>
      </c>
      <c r="O1325" s="9" t="s">
        <v>57</v>
      </c>
      <c r="P1325" s="9" t="s">
        <v>58</v>
      </c>
      <c r="Q1325" s="9">
        <v>94</v>
      </c>
      <c r="R1325" s="9">
        <v>36</v>
      </c>
      <c r="S1325" s="9">
        <v>58</v>
      </c>
      <c r="T1325" s="9">
        <v>40</v>
      </c>
      <c r="U1325" s="9">
        <v>0</v>
      </c>
      <c r="V1325" s="9" t="s">
        <v>114</v>
      </c>
      <c r="W1325" s="9">
        <v>0</v>
      </c>
      <c r="X1325" s="9">
        <v>0</v>
      </c>
      <c r="Y1325" s="9">
        <v>0</v>
      </c>
      <c r="Z1325" s="9">
        <v>0</v>
      </c>
      <c r="AA1325" s="9">
        <v>11</v>
      </c>
      <c r="AB1325" s="9">
        <v>7</v>
      </c>
      <c r="AC1325" s="9">
        <v>14</v>
      </c>
      <c r="AD1325" s="9" t="s">
        <v>0</v>
      </c>
      <c r="AE1325" s="9" t="s">
        <v>60</v>
      </c>
    </row>
    <row r="1326" spans="1:31" ht="51" x14ac:dyDescent="0.2">
      <c r="A1326" s="6" t="str">
        <f>HYPERLINK("http://www.patentics.cn/invokexml.do?sx=showpatent_cn&amp;sf=ShowPatent&amp;spn=CN101277119&amp;sx=showpatent_cn&amp;sv=9771b75813b6aedae1be503791a56701","CN101277119")</f>
        <v>CN101277119</v>
      </c>
      <c r="B1326" s="7" t="s">
        <v>6765</v>
      </c>
      <c r="C1326" s="7" t="s">
        <v>6766</v>
      </c>
      <c r="D1326" s="7" t="s">
        <v>1383</v>
      </c>
      <c r="E1326" s="7" t="s">
        <v>1383</v>
      </c>
      <c r="F1326" s="7" t="s">
        <v>6767</v>
      </c>
      <c r="G1326" s="7" t="s">
        <v>4933</v>
      </c>
      <c r="H1326" s="7" t="s">
        <v>4059</v>
      </c>
      <c r="I1326" s="7" t="s">
        <v>4059</v>
      </c>
      <c r="J1326" s="7" t="s">
        <v>6768</v>
      </c>
      <c r="K1326" s="7" t="s">
        <v>1529</v>
      </c>
      <c r="L1326" s="7" t="s">
        <v>3086</v>
      </c>
      <c r="M1326" s="7">
        <v>7</v>
      </c>
      <c r="N1326" s="7">
        <v>30</v>
      </c>
      <c r="O1326" s="7" t="s">
        <v>42</v>
      </c>
      <c r="P1326" s="7" t="s">
        <v>43</v>
      </c>
      <c r="Q1326" s="7">
        <v>0</v>
      </c>
      <c r="R1326" s="7">
        <v>0</v>
      </c>
      <c r="S1326" s="7">
        <v>0</v>
      </c>
      <c r="T1326" s="7">
        <v>0</v>
      </c>
      <c r="U1326" s="7">
        <v>8</v>
      </c>
      <c r="V1326" s="7" t="s">
        <v>6612</v>
      </c>
      <c r="W1326" s="7">
        <v>0</v>
      </c>
      <c r="X1326" s="7">
        <v>8</v>
      </c>
      <c r="Y1326" s="7">
        <v>6</v>
      </c>
      <c r="Z1326" s="7">
        <v>1</v>
      </c>
      <c r="AA1326" s="7">
        <v>1</v>
      </c>
      <c r="AB1326" s="7">
        <v>1</v>
      </c>
      <c r="AC1326" s="7" t="s">
        <v>0</v>
      </c>
      <c r="AD1326" s="7">
        <v>1</v>
      </c>
      <c r="AE1326" s="7" t="s">
        <v>532</v>
      </c>
    </row>
    <row r="1327" spans="1:31" ht="25.5" x14ac:dyDescent="0.2">
      <c r="A1327" s="8" t="str">
        <f>HYPERLINK("http://www.patentics.cn/invokexml.do?sx=showpatent_cn&amp;sf=ShowPatent&amp;spn=CN101834616B&amp;sx=showpatent_cn&amp;sv=3e24d7596db101d08caf7d47f987f0ea","CN101834616B")</f>
        <v>CN101834616B</v>
      </c>
      <c r="B1327" s="9" t="s">
        <v>4757</v>
      </c>
      <c r="C1327" s="9" t="s">
        <v>4758</v>
      </c>
      <c r="D1327" s="9" t="s">
        <v>3082</v>
      </c>
      <c r="E1327" s="9" t="s">
        <v>301</v>
      </c>
      <c r="F1327" s="9" t="s">
        <v>4759</v>
      </c>
      <c r="G1327" s="9" t="s">
        <v>4760</v>
      </c>
      <c r="H1327" s="9" t="s">
        <v>3085</v>
      </c>
      <c r="I1327" s="9" t="s">
        <v>3085</v>
      </c>
      <c r="J1327" s="9" t="s">
        <v>729</v>
      </c>
      <c r="K1327" s="9" t="s">
        <v>1529</v>
      </c>
      <c r="L1327" s="9" t="s">
        <v>3086</v>
      </c>
      <c r="M1327" s="9">
        <v>4</v>
      </c>
      <c r="N1327" s="9">
        <v>42</v>
      </c>
      <c r="O1327" s="9" t="s">
        <v>57</v>
      </c>
      <c r="P1327" s="9" t="s">
        <v>43</v>
      </c>
      <c r="Q1327" s="9">
        <v>3</v>
      </c>
      <c r="R1327" s="9">
        <v>0</v>
      </c>
      <c r="S1327" s="9">
        <v>3</v>
      </c>
      <c r="T1327" s="9">
        <v>2</v>
      </c>
      <c r="U1327" s="9">
        <v>0</v>
      </c>
      <c r="V1327" s="9" t="s">
        <v>114</v>
      </c>
      <c r="W1327" s="9">
        <v>0</v>
      </c>
      <c r="X1327" s="9">
        <v>0</v>
      </c>
      <c r="Y1327" s="9">
        <v>0</v>
      </c>
      <c r="Z1327" s="9">
        <v>0</v>
      </c>
      <c r="AA1327" s="9">
        <v>1</v>
      </c>
      <c r="AB1327" s="9">
        <v>1</v>
      </c>
      <c r="AC1327" s="9">
        <v>14</v>
      </c>
      <c r="AD1327" s="9" t="s">
        <v>0</v>
      </c>
      <c r="AE1327" s="9" t="s">
        <v>532</v>
      </c>
    </row>
    <row r="1328" spans="1:31" ht="25.5" x14ac:dyDescent="0.2">
      <c r="A1328" s="6" t="str">
        <f>HYPERLINK("http://www.patentics.cn/invokexml.do?sx=showpatent_cn&amp;sf=ShowPatent&amp;spn=CN101277271&amp;sx=showpatent_cn&amp;sv=93491684c8967908eb847eb03f4c0b6a","CN101277271")</f>
        <v>CN101277271</v>
      </c>
      <c r="B1328" s="7" t="s">
        <v>6769</v>
      </c>
      <c r="C1328" s="7" t="s">
        <v>6770</v>
      </c>
      <c r="D1328" s="7" t="s">
        <v>6771</v>
      </c>
      <c r="E1328" s="7" t="s">
        <v>6771</v>
      </c>
      <c r="F1328" s="7" t="s">
        <v>6772</v>
      </c>
      <c r="G1328" s="7" t="s">
        <v>6773</v>
      </c>
      <c r="H1328" s="7" t="s">
        <v>1514</v>
      </c>
      <c r="I1328" s="7" t="s">
        <v>1514</v>
      </c>
      <c r="J1328" s="7" t="s">
        <v>6768</v>
      </c>
      <c r="K1328" s="7" t="s">
        <v>68</v>
      </c>
      <c r="L1328" s="7" t="s">
        <v>1946</v>
      </c>
      <c r="M1328" s="7">
        <v>2</v>
      </c>
      <c r="N1328" s="7">
        <v>85</v>
      </c>
      <c r="O1328" s="7" t="s">
        <v>42</v>
      </c>
      <c r="P1328" s="7" t="s">
        <v>43</v>
      </c>
      <c r="Q1328" s="7">
        <v>0</v>
      </c>
      <c r="R1328" s="7">
        <v>0</v>
      </c>
      <c r="S1328" s="7">
        <v>0</v>
      </c>
      <c r="T1328" s="7">
        <v>0</v>
      </c>
      <c r="U1328" s="7">
        <v>3</v>
      </c>
      <c r="V1328" s="7" t="s">
        <v>6774</v>
      </c>
      <c r="W1328" s="7">
        <v>0</v>
      </c>
      <c r="X1328" s="7">
        <v>3</v>
      </c>
      <c r="Y1328" s="7">
        <v>2</v>
      </c>
      <c r="Z1328" s="7">
        <v>2</v>
      </c>
      <c r="AA1328" s="7">
        <v>1</v>
      </c>
      <c r="AB1328" s="7">
        <v>1</v>
      </c>
      <c r="AC1328" s="7" t="s">
        <v>0</v>
      </c>
      <c r="AD1328" s="7">
        <v>1</v>
      </c>
      <c r="AE1328" s="7" t="s">
        <v>532</v>
      </c>
    </row>
    <row r="1329" spans="1:31" ht="140.25" x14ac:dyDescent="0.2">
      <c r="A1329" s="8" t="str">
        <f>HYPERLINK("http://www.patentics.cn/invokexml.do?sx=showpatent_cn&amp;sf=ShowPatent&amp;spn=US9585025&amp;sx=showpatent_cn&amp;sv=0cbaeee12aecb78ab519c35a48295957","US9585025")</f>
        <v>US9585025</v>
      </c>
      <c r="B1329" s="9" t="s">
        <v>6775</v>
      </c>
      <c r="C1329" s="9" t="s">
        <v>6776</v>
      </c>
      <c r="D1329" s="9" t="s">
        <v>48</v>
      </c>
      <c r="E1329" s="9" t="s">
        <v>49</v>
      </c>
      <c r="F1329" s="9" t="s">
        <v>6777</v>
      </c>
      <c r="G1329" s="9" t="s">
        <v>3825</v>
      </c>
      <c r="H1329" s="9" t="s">
        <v>3500</v>
      </c>
      <c r="I1329" s="9" t="s">
        <v>2002</v>
      </c>
      <c r="J1329" s="9" t="s">
        <v>605</v>
      </c>
      <c r="K1329" s="9" t="s">
        <v>55</v>
      </c>
      <c r="L1329" s="9" t="s">
        <v>5194</v>
      </c>
      <c r="M1329" s="9">
        <v>66</v>
      </c>
      <c r="N1329" s="9">
        <v>6</v>
      </c>
      <c r="O1329" s="9" t="s">
        <v>57</v>
      </c>
      <c r="P1329" s="9" t="s">
        <v>58</v>
      </c>
      <c r="Q1329" s="9">
        <v>74</v>
      </c>
      <c r="R1329" s="9">
        <v>12</v>
      </c>
      <c r="S1329" s="9">
        <v>62</v>
      </c>
      <c r="T1329" s="9">
        <v>30</v>
      </c>
      <c r="U1329" s="9">
        <v>0</v>
      </c>
      <c r="V1329" s="9" t="s">
        <v>114</v>
      </c>
      <c r="W1329" s="9">
        <v>0</v>
      </c>
      <c r="X1329" s="9">
        <v>0</v>
      </c>
      <c r="Y1329" s="9">
        <v>0</v>
      </c>
      <c r="Z1329" s="9">
        <v>0</v>
      </c>
      <c r="AA1329" s="9">
        <v>33</v>
      </c>
      <c r="AB1329" s="9">
        <v>7</v>
      </c>
      <c r="AC1329" s="9">
        <v>14</v>
      </c>
      <c r="AD1329" s="9" t="s">
        <v>0</v>
      </c>
      <c r="AE1329" s="9" t="s">
        <v>60</v>
      </c>
    </row>
    <row r="1330" spans="1:31" ht="25.5" x14ac:dyDescent="0.2">
      <c r="A1330" s="6" t="str">
        <f>HYPERLINK("http://www.patentics.cn/invokexml.do?sx=showpatent_cn&amp;sf=ShowPatent&amp;spn=CN101277293&amp;sx=showpatent_cn&amp;sv=d411aa118257b4da076624b2cbe894c3","CN101277293")</f>
        <v>CN101277293</v>
      </c>
      <c r="B1330" s="7" t="s">
        <v>6778</v>
      </c>
      <c r="C1330" s="7" t="s">
        <v>6779</v>
      </c>
      <c r="D1330" s="7" t="s">
        <v>6780</v>
      </c>
      <c r="E1330" s="7" t="s">
        <v>6780</v>
      </c>
      <c r="F1330" s="7" t="s">
        <v>6781</v>
      </c>
      <c r="G1330" s="7" t="s">
        <v>6782</v>
      </c>
      <c r="H1330" s="7" t="s">
        <v>6783</v>
      </c>
      <c r="I1330" s="7" t="s">
        <v>6783</v>
      </c>
      <c r="J1330" s="7" t="s">
        <v>6768</v>
      </c>
      <c r="K1330" s="7" t="s">
        <v>68</v>
      </c>
      <c r="L1330" s="7" t="s">
        <v>2336</v>
      </c>
      <c r="M1330" s="7">
        <v>4</v>
      </c>
      <c r="N1330" s="7">
        <v>54</v>
      </c>
      <c r="O1330" s="7" t="s">
        <v>42</v>
      </c>
      <c r="P1330" s="7" t="s">
        <v>43</v>
      </c>
      <c r="Q1330" s="7">
        <v>0</v>
      </c>
      <c r="R1330" s="7">
        <v>0</v>
      </c>
      <c r="S1330" s="7">
        <v>0</v>
      </c>
      <c r="T1330" s="7">
        <v>0</v>
      </c>
      <c r="U1330" s="7">
        <v>9</v>
      </c>
      <c r="V1330" s="7" t="s">
        <v>6784</v>
      </c>
      <c r="W1330" s="7">
        <v>0</v>
      </c>
      <c r="X1330" s="7">
        <v>9</v>
      </c>
      <c r="Y1330" s="7">
        <v>6</v>
      </c>
      <c r="Z1330" s="7">
        <v>1</v>
      </c>
      <c r="AA1330" s="7">
        <v>1</v>
      </c>
      <c r="AB1330" s="7">
        <v>1</v>
      </c>
      <c r="AC1330" s="7" t="s">
        <v>0</v>
      </c>
      <c r="AD1330" s="7">
        <v>1</v>
      </c>
      <c r="AE1330" s="7" t="s">
        <v>532</v>
      </c>
    </row>
    <row r="1331" spans="1:31" ht="51" x14ac:dyDescent="0.2">
      <c r="A1331" s="8" t="str">
        <f>HYPERLINK("http://www.patentics.cn/invokexml.do?sx=showpatent_cn&amp;sf=ShowPatent&amp;spn=CN102187648B&amp;sx=showpatent_cn&amp;sv=9f19f61f35c5eb6d09e28aded306e1c4","CN102187648B")</f>
        <v>CN102187648B</v>
      </c>
      <c r="B1331" s="9" t="s">
        <v>6785</v>
      </c>
      <c r="C1331" s="9" t="s">
        <v>6786</v>
      </c>
      <c r="D1331" s="9" t="s">
        <v>301</v>
      </c>
      <c r="E1331" s="9" t="s">
        <v>301</v>
      </c>
      <c r="F1331" s="9" t="s">
        <v>6787</v>
      </c>
      <c r="G1331" s="9" t="s">
        <v>6788</v>
      </c>
      <c r="H1331" s="9" t="s">
        <v>6789</v>
      </c>
      <c r="I1331" s="9" t="s">
        <v>6790</v>
      </c>
      <c r="J1331" s="9" t="s">
        <v>6791</v>
      </c>
      <c r="K1331" s="9" t="s">
        <v>68</v>
      </c>
      <c r="L1331" s="9" t="s">
        <v>2336</v>
      </c>
      <c r="M1331" s="9">
        <v>29</v>
      </c>
      <c r="N1331" s="9">
        <v>14</v>
      </c>
      <c r="O1331" s="9" t="s">
        <v>57</v>
      </c>
      <c r="P1331" s="9" t="s">
        <v>58</v>
      </c>
      <c r="Q1331" s="9">
        <v>4</v>
      </c>
      <c r="R1331" s="9">
        <v>0</v>
      </c>
      <c r="S1331" s="9">
        <v>4</v>
      </c>
      <c r="T1331" s="9">
        <v>4</v>
      </c>
      <c r="U1331" s="9">
        <v>0</v>
      </c>
      <c r="V1331" s="9" t="s">
        <v>114</v>
      </c>
      <c r="W1331" s="9">
        <v>0</v>
      </c>
      <c r="X1331" s="9">
        <v>0</v>
      </c>
      <c r="Y1331" s="9">
        <v>0</v>
      </c>
      <c r="Z1331" s="9">
        <v>0</v>
      </c>
      <c r="AA1331" s="9">
        <v>11</v>
      </c>
      <c r="AB1331" s="9">
        <v>7</v>
      </c>
      <c r="AC1331" s="9">
        <v>14</v>
      </c>
      <c r="AD1331" s="9" t="s">
        <v>0</v>
      </c>
      <c r="AE1331" s="9" t="s">
        <v>60</v>
      </c>
    </row>
    <row r="1332" spans="1:31" ht="51" x14ac:dyDescent="0.2">
      <c r="A1332" s="6" t="str">
        <f>HYPERLINK("http://www.patentics.cn/invokexml.do?sx=showpatent_cn&amp;sf=ShowPatent&amp;spn=CN101267439&amp;sx=showpatent_cn&amp;sv=6ca9bd297e90741e5cff69ae699d35ca","CN101267439")</f>
        <v>CN101267439</v>
      </c>
      <c r="B1332" s="7" t="s">
        <v>6792</v>
      </c>
      <c r="C1332" s="7" t="s">
        <v>6793</v>
      </c>
      <c r="D1332" s="7" t="s">
        <v>6794</v>
      </c>
      <c r="E1332" s="7" t="s">
        <v>6794</v>
      </c>
      <c r="F1332" s="7" t="s">
        <v>6795</v>
      </c>
      <c r="G1332" s="7" t="s">
        <v>6796</v>
      </c>
      <c r="H1332" s="7" t="s">
        <v>6797</v>
      </c>
      <c r="I1332" s="7" t="s">
        <v>6797</v>
      </c>
      <c r="J1332" s="7" t="s">
        <v>6798</v>
      </c>
      <c r="K1332" s="7" t="s">
        <v>68</v>
      </c>
      <c r="L1332" s="7" t="s">
        <v>2336</v>
      </c>
      <c r="M1332" s="7">
        <v>12</v>
      </c>
      <c r="N1332" s="7">
        <v>12</v>
      </c>
      <c r="O1332" s="7" t="s">
        <v>42</v>
      </c>
      <c r="P1332" s="7" t="s">
        <v>43</v>
      </c>
      <c r="Q1332" s="7">
        <v>0</v>
      </c>
      <c r="R1332" s="7">
        <v>0</v>
      </c>
      <c r="S1332" s="7">
        <v>0</v>
      </c>
      <c r="T1332" s="7">
        <v>0</v>
      </c>
      <c r="U1332" s="7">
        <v>2</v>
      </c>
      <c r="V1332" s="7" t="s">
        <v>2316</v>
      </c>
      <c r="W1332" s="7">
        <v>0</v>
      </c>
      <c r="X1332" s="7">
        <v>2</v>
      </c>
      <c r="Y1332" s="7">
        <v>2</v>
      </c>
      <c r="Z1332" s="7">
        <v>1</v>
      </c>
      <c r="AA1332" s="7">
        <v>1</v>
      </c>
      <c r="AB1332" s="7">
        <v>1</v>
      </c>
      <c r="AC1332" s="7" t="s">
        <v>0</v>
      </c>
      <c r="AD1332" s="7">
        <v>1</v>
      </c>
      <c r="AE1332" s="7" t="s">
        <v>60</v>
      </c>
    </row>
    <row r="1333" spans="1:31" ht="25.5" x14ac:dyDescent="0.2">
      <c r="A1333" s="8" t="str">
        <f>HYPERLINK("http://www.patentics.cn/invokexml.do?sx=showpatent_cn&amp;sf=ShowPatent&amp;spn=CN102318405&amp;sx=showpatent_cn&amp;sv=1f49b486cfc1c7df59ca40a5394457a5","CN102318405")</f>
        <v>CN102318405</v>
      </c>
      <c r="B1333" s="9" t="s">
        <v>6799</v>
      </c>
      <c r="C1333" s="9" t="s">
        <v>6800</v>
      </c>
      <c r="D1333" s="9" t="s">
        <v>301</v>
      </c>
      <c r="E1333" s="9" t="s">
        <v>301</v>
      </c>
      <c r="F1333" s="9" t="s">
        <v>6801</v>
      </c>
      <c r="G1333" s="9" t="s">
        <v>6802</v>
      </c>
      <c r="H1333" s="9" t="s">
        <v>6546</v>
      </c>
      <c r="I1333" s="9" t="s">
        <v>2024</v>
      </c>
      <c r="J1333" s="9" t="s">
        <v>2027</v>
      </c>
      <c r="K1333" s="9" t="s">
        <v>55</v>
      </c>
      <c r="L1333" s="9" t="s">
        <v>6231</v>
      </c>
      <c r="M1333" s="9">
        <v>36</v>
      </c>
      <c r="N1333" s="9">
        <v>18</v>
      </c>
      <c r="O1333" s="9" t="s">
        <v>42</v>
      </c>
      <c r="P1333" s="9" t="s">
        <v>58</v>
      </c>
      <c r="Q1333" s="9">
        <v>8</v>
      </c>
      <c r="R1333" s="9">
        <v>1</v>
      </c>
      <c r="S1333" s="9">
        <v>7</v>
      </c>
      <c r="T1333" s="9">
        <v>7</v>
      </c>
      <c r="U1333" s="9">
        <v>2</v>
      </c>
      <c r="V1333" s="9" t="s">
        <v>376</v>
      </c>
      <c r="W1333" s="9">
        <v>0</v>
      </c>
      <c r="X1333" s="9">
        <v>2</v>
      </c>
      <c r="Y1333" s="9">
        <v>2</v>
      </c>
      <c r="Z1333" s="9">
        <v>2</v>
      </c>
      <c r="AA1333" s="9">
        <v>10</v>
      </c>
      <c r="AB1333" s="9">
        <v>7</v>
      </c>
      <c r="AC1333" s="9">
        <v>14</v>
      </c>
      <c r="AD1333" s="9" t="s">
        <v>0</v>
      </c>
      <c r="AE1333" s="9" t="s">
        <v>60</v>
      </c>
    </row>
    <row r="1334" spans="1:31" ht="25.5" x14ac:dyDescent="0.2">
      <c r="A1334" s="6" t="str">
        <f>HYPERLINK("http://www.patentics.cn/invokexml.do?sx=showpatent_cn&amp;sf=ShowPatent&amp;spn=CN101242388&amp;sx=showpatent_cn&amp;sv=17b27e617ae6113e6ecd35b7367ff924","CN101242388")</f>
        <v>CN101242388</v>
      </c>
      <c r="B1334" s="7" t="s">
        <v>6803</v>
      </c>
      <c r="C1334" s="7" t="s">
        <v>6804</v>
      </c>
      <c r="D1334" s="7" t="s">
        <v>1341</v>
      </c>
      <c r="E1334" s="7" t="s">
        <v>1341</v>
      </c>
      <c r="F1334" s="7" t="s">
        <v>6805</v>
      </c>
      <c r="G1334" s="7" t="s">
        <v>6806</v>
      </c>
      <c r="H1334" s="7" t="s">
        <v>6807</v>
      </c>
      <c r="I1334" s="7" t="s">
        <v>6807</v>
      </c>
      <c r="J1334" s="7" t="s">
        <v>436</v>
      </c>
      <c r="K1334" s="7" t="s">
        <v>68</v>
      </c>
      <c r="L1334" s="7" t="s">
        <v>281</v>
      </c>
      <c r="M1334" s="7">
        <v>1</v>
      </c>
      <c r="N1334" s="7">
        <v>61</v>
      </c>
      <c r="O1334" s="7" t="s">
        <v>42</v>
      </c>
      <c r="P1334" s="7" t="s">
        <v>43</v>
      </c>
      <c r="Q1334" s="7">
        <v>0</v>
      </c>
      <c r="R1334" s="7">
        <v>0</v>
      </c>
      <c r="S1334" s="7">
        <v>0</v>
      </c>
      <c r="T1334" s="7">
        <v>0</v>
      </c>
      <c r="U1334" s="7">
        <v>12</v>
      </c>
      <c r="V1334" s="7" t="s">
        <v>6808</v>
      </c>
      <c r="W1334" s="7">
        <v>0</v>
      </c>
      <c r="X1334" s="7">
        <v>12</v>
      </c>
      <c r="Y1334" s="7">
        <v>7</v>
      </c>
      <c r="Z1334" s="7">
        <v>3</v>
      </c>
      <c r="AA1334" s="7">
        <v>1</v>
      </c>
      <c r="AB1334" s="7">
        <v>1</v>
      </c>
      <c r="AC1334" s="7" t="s">
        <v>0</v>
      </c>
      <c r="AD1334" s="7">
        <v>1</v>
      </c>
      <c r="AE1334" s="7" t="s">
        <v>532</v>
      </c>
    </row>
    <row r="1335" spans="1:31" ht="191.25" x14ac:dyDescent="0.2">
      <c r="A1335" s="8" t="str">
        <f>HYPERLINK("http://www.patentics.cn/invokexml.do?sx=showpatent_cn&amp;sf=ShowPatent&amp;spn=WO2015131314&amp;sx=showpatent_cn&amp;sv=0abe55284fa63487ceb23fa0aa51283e","WO2015131314")</f>
        <v>WO2015131314</v>
      </c>
      <c r="B1335" s="9" t="s">
        <v>5442</v>
      </c>
      <c r="C1335" s="9" t="s">
        <v>5443</v>
      </c>
      <c r="D1335" s="9" t="s">
        <v>117</v>
      </c>
      <c r="E1335" s="9" t="s">
        <v>49</v>
      </c>
      <c r="F1335" s="9" t="s">
        <v>5444</v>
      </c>
      <c r="G1335" s="9" t="s">
        <v>5445</v>
      </c>
      <c r="H1335" s="9" t="s">
        <v>0</v>
      </c>
      <c r="I1335" s="9" t="s">
        <v>4992</v>
      </c>
      <c r="J1335" s="9" t="s">
        <v>5446</v>
      </c>
      <c r="K1335" s="9" t="s">
        <v>89</v>
      </c>
      <c r="L1335" s="9" t="s">
        <v>5447</v>
      </c>
      <c r="M1335" s="9">
        <v>30</v>
      </c>
      <c r="N1335" s="9">
        <v>17</v>
      </c>
      <c r="O1335" s="9" t="s">
        <v>850</v>
      </c>
      <c r="P1335" s="9" t="s">
        <v>1932</v>
      </c>
      <c r="Q1335" s="9">
        <v>4</v>
      </c>
      <c r="R1335" s="9">
        <v>0</v>
      </c>
      <c r="S1335" s="9">
        <v>4</v>
      </c>
      <c r="T1335" s="9">
        <v>4</v>
      </c>
      <c r="U1335" s="9">
        <v>0</v>
      </c>
      <c r="V1335" s="9" t="s">
        <v>114</v>
      </c>
      <c r="W1335" s="9">
        <v>0</v>
      </c>
      <c r="X1335" s="9">
        <v>0</v>
      </c>
      <c r="Y1335" s="9">
        <v>0</v>
      </c>
      <c r="Z1335" s="9">
        <v>0</v>
      </c>
      <c r="AA1335" s="9">
        <v>0</v>
      </c>
      <c r="AB1335" s="9">
        <v>0</v>
      </c>
      <c r="AC1335" s="9">
        <v>14</v>
      </c>
      <c r="AD1335" s="9" t="s">
        <v>0</v>
      </c>
      <c r="AE1335" s="9" t="s">
        <v>0</v>
      </c>
    </row>
    <row r="1336" spans="1:31" ht="25.5" x14ac:dyDescent="0.2">
      <c r="A1336" s="6" t="str">
        <f>HYPERLINK("http://www.patentics.cn/invokexml.do?sx=showpatent_cn&amp;sf=ShowPatent&amp;spn=CN101231336&amp;sx=showpatent_cn&amp;sv=407abeda6ed9b062de301d62cfd7d928","CN101231336")</f>
        <v>CN101231336</v>
      </c>
      <c r="B1336" s="7" t="s">
        <v>6809</v>
      </c>
      <c r="C1336" s="7" t="s">
        <v>6810</v>
      </c>
      <c r="D1336" s="7" t="s">
        <v>1341</v>
      </c>
      <c r="E1336" s="7" t="s">
        <v>1341</v>
      </c>
      <c r="F1336" s="7" t="s">
        <v>6811</v>
      </c>
      <c r="G1336" s="7" t="s">
        <v>6812</v>
      </c>
      <c r="H1336" s="7" t="s">
        <v>6813</v>
      </c>
      <c r="I1336" s="7" t="s">
        <v>6813</v>
      </c>
      <c r="J1336" s="7" t="s">
        <v>6814</v>
      </c>
      <c r="K1336" s="7" t="s">
        <v>1142</v>
      </c>
      <c r="L1336" s="7" t="s">
        <v>1143</v>
      </c>
      <c r="M1336" s="7">
        <v>10</v>
      </c>
      <c r="N1336" s="7">
        <v>19</v>
      </c>
      <c r="O1336" s="7" t="s">
        <v>42</v>
      </c>
      <c r="P1336" s="7" t="s">
        <v>43</v>
      </c>
      <c r="Q1336" s="7">
        <v>0</v>
      </c>
      <c r="R1336" s="7">
        <v>0</v>
      </c>
      <c r="S1336" s="7">
        <v>0</v>
      </c>
      <c r="T1336" s="7">
        <v>0</v>
      </c>
      <c r="U1336" s="7">
        <v>3</v>
      </c>
      <c r="V1336" s="7" t="s">
        <v>6815</v>
      </c>
      <c r="W1336" s="7">
        <v>0</v>
      </c>
      <c r="X1336" s="7">
        <v>3</v>
      </c>
      <c r="Y1336" s="7">
        <v>2</v>
      </c>
      <c r="Z1336" s="7">
        <v>1</v>
      </c>
      <c r="AA1336" s="7">
        <v>1</v>
      </c>
      <c r="AB1336" s="7">
        <v>1</v>
      </c>
      <c r="AC1336" s="7" t="s">
        <v>0</v>
      </c>
      <c r="AD1336" s="7">
        <v>1</v>
      </c>
      <c r="AE1336" s="7" t="s">
        <v>532</v>
      </c>
    </row>
    <row r="1337" spans="1:31" ht="25.5" x14ac:dyDescent="0.2">
      <c r="A1337" s="8" t="str">
        <f>HYPERLINK("http://www.patentics.cn/invokexml.do?sx=showpatent_cn&amp;sf=ShowPatent&amp;spn=CN102334042B&amp;sx=showpatent_cn&amp;sv=ad8a676b9aa32efa260b16405237191d","CN102334042B")</f>
        <v>CN102334042B</v>
      </c>
      <c r="B1337" s="9" t="s">
        <v>6816</v>
      </c>
      <c r="C1337" s="9" t="s">
        <v>6817</v>
      </c>
      <c r="D1337" s="9" t="s">
        <v>301</v>
      </c>
      <c r="E1337" s="9" t="s">
        <v>301</v>
      </c>
      <c r="F1337" s="9" t="s">
        <v>6818</v>
      </c>
      <c r="G1337" s="9" t="s">
        <v>6818</v>
      </c>
      <c r="H1337" s="9" t="s">
        <v>3820</v>
      </c>
      <c r="I1337" s="9" t="s">
        <v>6819</v>
      </c>
      <c r="J1337" s="9" t="s">
        <v>6820</v>
      </c>
      <c r="K1337" s="9" t="s">
        <v>1142</v>
      </c>
      <c r="L1337" s="9" t="s">
        <v>1143</v>
      </c>
      <c r="M1337" s="9">
        <v>10</v>
      </c>
      <c r="N1337" s="9">
        <v>26</v>
      </c>
      <c r="O1337" s="9" t="s">
        <v>57</v>
      </c>
      <c r="P1337" s="9" t="s">
        <v>58</v>
      </c>
      <c r="Q1337" s="9">
        <v>3</v>
      </c>
      <c r="R1337" s="9">
        <v>0</v>
      </c>
      <c r="S1337" s="9">
        <v>3</v>
      </c>
      <c r="T1337" s="9">
        <v>3</v>
      </c>
      <c r="U1337" s="9">
        <v>0</v>
      </c>
      <c r="V1337" s="9" t="s">
        <v>114</v>
      </c>
      <c r="W1337" s="9">
        <v>0</v>
      </c>
      <c r="X1337" s="9">
        <v>0</v>
      </c>
      <c r="Y1337" s="9">
        <v>0</v>
      </c>
      <c r="Z1337" s="9">
        <v>0</v>
      </c>
      <c r="AA1337" s="9">
        <v>9</v>
      </c>
      <c r="AB1337" s="9">
        <v>7</v>
      </c>
      <c r="AC1337" s="9">
        <v>14</v>
      </c>
      <c r="AD1337" s="9" t="s">
        <v>0</v>
      </c>
      <c r="AE1337" s="9" t="s">
        <v>60</v>
      </c>
    </row>
    <row r="1338" spans="1:31" ht="63.75" x14ac:dyDescent="0.2">
      <c r="A1338" s="6" t="str">
        <f>HYPERLINK("http://www.patentics.cn/invokexml.do?sx=showpatent_cn&amp;sf=ShowPatent&amp;spn=CN101231640&amp;sx=showpatent_cn&amp;sv=9dc3d6dcb3f661bbf80b8631e65f67e0","CN101231640")</f>
        <v>CN101231640</v>
      </c>
      <c r="B1338" s="7" t="s">
        <v>6821</v>
      </c>
      <c r="C1338" s="7" t="s">
        <v>6822</v>
      </c>
      <c r="D1338" s="7" t="s">
        <v>6823</v>
      </c>
      <c r="E1338" s="7" t="s">
        <v>6824</v>
      </c>
      <c r="F1338" s="7" t="s">
        <v>6825</v>
      </c>
      <c r="G1338" s="7" t="s">
        <v>6826</v>
      </c>
      <c r="H1338" s="7" t="s">
        <v>6827</v>
      </c>
      <c r="I1338" s="7" t="s">
        <v>6827</v>
      </c>
      <c r="J1338" s="7" t="s">
        <v>6814</v>
      </c>
      <c r="K1338" s="7" t="s">
        <v>885</v>
      </c>
      <c r="L1338" s="7" t="s">
        <v>2325</v>
      </c>
      <c r="M1338" s="7">
        <v>11</v>
      </c>
      <c r="N1338" s="7">
        <v>13</v>
      </c>
      <c r="O1338" s="7" t="s">
        <v>42</v>
      </c>
      <c r="P1338" s="7" t="s">
        <v>43</v>
      </c>
      <c r="Q1338" s="7">
        <v>1</v>
      </c>
      <c r="R1338" s="7">
        <v>1</v>
      </c>
      <c r="S1338" s="7">
        <v>0</v>
      </c>
      <c r="T1338" s="7">
        <v>1</v>
      </c>
      <c r="U1338" s="7">
        <v>15</v>
      </c>
      <c r="V1338" s="7" t="s">
        <v>6828</v>
      </c>
      <c r="W1338" s="7">
        <v>3</v>
      </c>
      <c r="X1338" s="7">
        <v>12</v>
      </c>
      <c r="Y1338" s="7">
        <v>9</v>
      </c>
      <c r="Z1338" s="7">
        <v>2</v>
      </c>
      <c r="AA1338" s="7">
        <v>1</v>
      </c>
      <c r="AB1338" s="7">
        <v>1</v>
      </c>
      <c r="AC1338" s="7" t="s">
        <v>0</v>
      </c>
      <c r="AD1338" s="7">
        <v>1</v>
      </c>
      <c r="AE1338" s="7" t="s">
        <v>60</v>
      </c>
    </row>
    <row r="1339" spans="1:31" ht="38.25" x14ac:dyDescent="0.2">
      <c r="A1339" s="8" t="str">
        <f>HYPERLINK("http://www.patentics.cn/invokexml.do?sx=showpatent_cn&amp;sf=ShowPatent&amp;spn=CN103168313B&amp;sx=showpatent_cn&amp;sv=c8e55e973e1a230514997210fc1d23e7","CN103168313B")</f>
        <v>CN103168313B</v>
      </c>
      <c r="B1339" s="9" t="s">
        <v>6829</v>
      </c>
      <c r="C1339" s="9" t="s">
        <v>6830</v>
      </c>
      <c r="D1339" s="9" t="s">
        <v>301</v>
      </c>
      <c r="E1339" s="9" t="s">
        <v>301</v>
      </c>
      <c r="F1339" s="9" t="s">
        <v>6831</v>
      </c>
      <c r="G1339" s="9" t="s">
        <v>6832</v>
      </c>
      <c r="H1339" s="9" t="s">
        <v>6833</v>
      </c>
      <c r="I1339" s="9" t="s">
        <v>6834</v>
      </c>
      <c r="J1339" s="9" t="s">
        <v>6835</v>
      </c>
      <c r="K1339" s="9" t="s">
        <v>885</v>
      </c>
      <c r="L1339" s="9" t="s">
        <v>4422</v>
      </c>
      <c r="M1339" s="9">
        <v>36</v>
      </c>
      <c r="N1339" s="9">
        <v>15</v>
      </c>
      <c r="O1339" s="9" t="s">
        <v>57</v>
      </c>
      <c r="P1339" s="9" t="s">
        <v>58</v>
      </c>
      <c r="Q1339" s="9">
        <v>3</v>
      </c>
      <c r="R1339" s="9">
        <v>0</v>
      </c>
      <c r="S1339" s="9">
        <v>3</v>
      </c>
      <c r="T1339" s="9">
        <v>2</v>
      </c>
      <c r="U1339" s="9">
        <v>0</v>
      </c>
      <c r="V1339" s="9" t="s">
        <v>114</v>
      </c>
      <c r="W1339" s="9">
        <v>0</v>
      </c>
      <c r="X1339" s="9">
        <v>0</v>
      </c>
      <c r="Y1339" s="9">
        <v>0</v>
      </c>
      <c r="Z1339" s="9">
        <v>0</v>
      </c>
      <c r="AA1339" s="9">
        <v>0</v>
      </c>
      <c r="AB1339" s="9">
        <v>0</v>
      </c>
      <c r="AC1339" s="9">
        <v>14</v>
      </c>
      <c r="AD1339" s="9" t="s">
        <v>0</v>
      </c>
      <c r="AE1339" s="9" t="s">
        <v>60</v>
      </c>
    </row>
    <row r="1340" spans="1:31" ht="38.25" x14ac:dyDescent="0.2">
      <c r="A1340" s="6" t="str">
        <f>HYPERLINK("http://www.patentics.cn/invokexml.do?sx=showpatent_cn&amp;sf=ShowPatent&amp;spn=CN101222637&amp;sx=showpatent_cn&amp;sv=26e48ee3e50c3f9baedb0247448b072d","CN101222637")</f>
        <v>CN101222637</v>
      </c>
      <c r="B1340" s="7" t="s">
        <v>6836</v>
      </c>
      <c r="C1340" s="7" t="s">
        <v>6837</v>
      </c>
      <c r="D1340" s="7" t="s">
        <v>1383</v>
      </c>
      <c r="E1340" s="7" t="s">
        <v>1383</v>
      </c>
      <c r="F1340" s="7" t="s">
        <v>6838</v>
      </c>
      <c r="G1340" s="7" t="s">
        <v>6839</v>
      </c>
      <c r="H1340" s="7" t="s">
        <v>0</v>
      </c>
      <c r="I1340" s="7" t="s">
        <v>2617</v>
      </c>
      <c r="J1340" s="7" t="s">
        <v>6840</v>
      </c>
      <c r="K1340" s="7" t="s">
        <v>714</v>
      </c>
      <c r="L1340" s="7" t="s">
        <v>1346</v>
      </c>
      <c r="M1340" s="7">
        <v>3</v>
      </c>
      <c r="N1340" s="7">
        <v>38</v>
      </c>
      <c r="O1340" s="7" t="s">
        <v>42</v>
      </c>
      <c r="P1340" s="7" t="s">
        <v>43</v>
      </c>
      <c r="Q1340" s="7">
        <v>0</v>
      </c>
      <c r="R1340" s="7">
        <v>0</v>
      </c>
      <c r="S1340" s="7">
        <v>0</v>
      </c>
      <c r="T1340" s="7">
        <v>0</v>
      </c>
      <c r="U1340" s="7">
        <v>11</v>
      </c>
      <c r="V1340" s="7" t="s">
        <v>2369</v>
      </c>
      <c r="W1340" s="7">
        <v>0</v>
      </c>
      <c r="X1340" s="7">
        <v>11</v>
      </c>
      <c r="Y1340" s="7">
        <v>7</v>
      </c>
      <c r="Z1340" s="7">
        <v>3</v>
      </c>
      <c r="AA1340" s="7">
        <v>0</v>
      </c>
      <c r="AB1340" s="7">
        <v>0</v>
      </c>
      <c r="AC1340" s="7" t="s">
        <v>0</v>
      </c>
      <c r="AD1340" s="7">
        <v>1</v>
      </c>
      <c r="AE1340" s="7" t="s">
        <v>45</v>
      </c>
    </row>
    <row r="1341" spans="1:31" ht="63.75" x14ac:dyDescent="0.2">
      <c r="A1341" s="8" t="str">
        <f>HYPERLINK("http://www.patentics.cn/invokexml.do?sx=showpatent_cn&amp;sf=ShowPatent&amp;spn=US9491491&amp;sx=showpatent_cn&amp;sv=cc797d17640740b6752674119bc75982","US9491491")</f>
        <v>US9491491</v>
      </c>
      <c r="B1341" s="9" t="s">
        <v>6841</v>
      </c>
      <c r="C1341" s="9" t="s">
        <v>6842</v>
      </c>
      <c r="D1341" s="9" t="s">
        <v>48</v>
      </c>
      <c r="E1341" s="9" t="s">
        <v>49</v>
      </c>
      <c r="F1341" s="9" t="s">
        <v>6843</v>
      </c>
      <c r="G1341" s="9" t="s">
        <v>6844</v>
      </c>
      <c r="H1341" s="9" t="s">
        <v>1848</v>
      </c>
      <c r="I1341" s="9" t="s">
        <v>1546</v>
      </c>
      <c r="J1341" s="9" t="s">
        <v>6845</v>
      </c>
      <c r="K1341" s="9" t="s">
        <v>714</v>
      </c>
      <c r="L1341" s="9" t="s">
        <v>1388</v>
      </c>
      <c r="M1341" s="9">
        <v>43</v>
      </c>
      <c r="N1341" s="9">
        <v>21</v>
      </c>
      <c r="O1341" s="9" t="s">
        <v>57</v>
      </c>
      <c r="P1341" s="9" t="s">
        <v>58</v>
      </c>
      <c r="Q1341" s="9">
        <v>20</v>
      </c>
      <c r="R1341" s="9">
        <v>5</v>
      </c>
      <c r="S1341" s="9">
        <v>15</v>
      </c>
      <c r="T1341" s="9">
        <v>9</v>
      </c>
      <c r="U1341" s="9">
        <v>0</v>
      </c>
      <c r="V1341" s="9" t="s">
        <v>114</v>
      </c>
      <c r="W1341" s="9">
        <v>0</v>
      </c>
      <c r="X1341" s="9">
        <v>0</v>
      </c>
      <c r="Y1341" s="9">
        <v>0</v>
      </c>
      <c r="Z1341" s="9">
        <v>0</v>
      </c>
      <c r="AA1341" s="9">
        <v>9</v>
      </c>
      <c r="AB1341" s="9">
        <v>7</v>
      </c>
      <c r="AC1341" s="9">
        <v>14</v>
      </c>
      <c r="AD1341" s="9" t="s">
        <v>0</v>
      </c>
      <c r="AE1341" s="9" t="s">
        <v>60</v>
      </c>
    </row>
    <row r="1342" spans="1:31" ht="38.25" x14ac:dyDescent="0.2">
      <c r="A1342" s="6" t="str">
        <f>HYPERLINK("http://www.patentics.cn/invokexml.do?sx=showpatent_cn&amp;sf=ShowPatent&amp;spn=CN101222283&amp;sx=showpatent_cn&amp;sv=20c9f82ff32512d8519ae1d6e5410b7e","CN101222283")</f>
        <v>CN101222283</v>
      </c>
      <c r="B1342" s="7" t="s">
        <v>6846</v>
      </c>
      <c r="C1342" s="7" t="s">
        <v>6847</v>
      </c>
      <c r="D1342" s="7" t="s">
        <v>932</v>
      </c>
      <c r="E1342" s="7" t="s">
        <v>932</v>
      </c>
      <c r="F1342" s="7" t="s">
        <v>6848</v>
      </c>
      <c r="G1342" s="7" t="s">
        <v>6849</v>
      </c>
      <c r="H1342" s="7" t="s">
        <v>2367</v>
      </c>
      <c r="I1342" s="7" t="s">
        <v>2367</v>
      </c>
      <c r="J1342" s="7" t="s">
        <v>6840</v>
      </c>
      <c r="K1342" s="7" t="s">
        <v>488</v>
      </c>
      <c r="L1342" s="7" t="s">
        <v>6850</v>
      </c>
      <c r="M1342" s="7">
        <v>10</v>
      </c>
      <c r="N1342" s="7">
        <v>53</v>
      </c>
      <c r="O1342" s="7" t="s">
        <v>42</v>
      </c>
      <c r="P1342" s="7" t="s">
        <v>43</v>
      </c>
      <c r="Q1342" s="7">
        <v>0</v>
      </c>
      <c r="R1342" s="7">
        <v>0</v>
      </c>
      <c r="S1342" s="7">
        <v>0</v>
      </c>
      <c r="T1342" s="7">
        <v>0</v>
      </c>
      <c r="U1342" s="7">
        <v>8</v>
      </c>
      <c r="V1342" s="7" t="s">
        <v>3923</v>
      </c>
      <c r="W1342" s="7">
        <v>0</v>
      </c>
      <c r="X1342" s="7">
        <v>8</v>
      </c>
      <c r="Y1342" s="7">
        <v>5</v>
      </c>
      <c r="Z1342" s="7">
        <v>3</v>
      </c>
      <c r="AA1342" s="7">
        <v>1</v>
      </c>
      <c r="AB1342" s="7">
        <v>1</v>
      </c>
      <c r="AC1342" s="7" t="s">
        <v>0</v>
      </c>
      <c r="AD1342" s="7">
        <v>1</v>
      </c>
      <c r="AE1342" s="7" t="s">
        <v>532</v>
      </c>
    </row>
    <row r="1343" spans="1:31" ht="76.5" x14ac:dyDescent="0.2">
      <c r="A1343" s="8" t="str">
        <f>HYPERLINK("http://www.patentics.cn/invokexml.do?sx=showpatent_cn&amp;sf=ShowPatent&amp;spn=US8437773&amp;sx=showpatent_cn&amp;sv=bb0922c30ba7926b2343a36f77546bdf","US8437773")</f>
        <v>US8437773</v>
      </c>
      <c r="B1343" s="9" t="s">
        <v>6851</v>
      </c>
      <c r="C1343" s="9" t="s">
        <v>6852</v>
      </c>
      <c r="D1343" s="9" t="s">
        <v>48</v>
      </c>
      <c r="E1343" s="9" t="s">
        <v>49</v>
      </c>
      <c r="F1343" s="9" t="s">
        <v>4289</v>
      </c>
      <c r="G1343" s="9" t="s">
        <v>1135</v>
      </c>
      <c r="H1343" s="9" t="s">
        <v>6853</v>
      </c>
      <c r="I1343" s="9" t="s">
        <v>2495</v>
      </c>
      <c r="J1343" s="9" t="s">
        <v>4924</v>
      </c>
      <c r="K1343" s="9" t="s">
        <v>55</v>
      </c>
      <c r="L1343" s="9" t="s">
        <v>1175</v>
      </c>
      <c r="M1343" s="9">
        <v>44</v>
      </c>
      <c r="N1343" s="9">
        <v>11</v>
      </c>
      <c r="O1343" s="9" t="s">
        <v>57</v>
      </c>
      <c r="P1343" s="9" t="s">
        <v>58</v>
      </c>
      <c r="Q1343" s="9">
        <v>35</v>
      </c>
      <c r="R1343" s="9">
        <v>1</v>
      </c>
      <c r="S1343" s="9">
        <v>34</v>
      </c>
      <c r="T1343" s="9">
        <v>17</v>
      </c>
      <c r="U1343" s="9">
        <v>3</v>
      </c>
      <c r="V1343" s="9" t="s">
        <v>3106</v>
      </c>
      <c r="W1343" s="9">
        <v>0</v>
      </c>
      <c r="X1343" s="9">
        <v>3</v>
      </c>
      <c r="Y1343" s="9">
        <v>2</v>
      </c>
      <c r="Z1343" s="9">
        <v>1</v>
      </c>
      <c r="AA1343" s="9">
        <v>9</v>
      </c>
      <c r="AB1343" s="9">
        <v>7</v>
      </c>
      <c r="AC1343" s="9">
        <v>14</v>
      </c>
      <c r="AD1343" s="9" t="s">
        <v>0</v>
      </c>
      <c r="AE1343" s="9" t="s">
        <v>60</v>
      </c>
    </row>
    <row r="1344" spans="1:31" ht="38.25" x14ac:dyDescent="0.2">
      <c r="A1344" s="6" t="str">
        <f>HYPERLINK("http://www.patentics.cn/invokexml.do?sx=showpatent_cn&amp;sf=ShowPatent&amp;spn=CN101214178&amp;sx=showpatent_cn&amp;sv=334bc7d817ae3312f5ecaf3d32c57be7","CN101214178")</f>
        <v>CN101214178</v>
      </c>
      <c r="B1344" s="7" t="s">
        <v>6854</v>
      </c>
      <c r="C1344" s="7" t="s">
        <v>6855</v>
      </c>
      <c r="D1344" s="7" t="s">
        <v>5872</v>
      </c>
      <c r="E1344" s="7" t="s">
        <v>5872</v>
      </c>
      <c r="F1344" s="7" t="s">
        <v>6856</v>
      </c>
      <c r="G1344" s="7" t="s">
        <v>6857</v>
      </c>
      <c r="H1344" s="7" t="s">
        <v>0</v>
      </c>
      <c r="I1344" s="7" t="s">
        <v>6858</v>
      </c>
      <c r="J1344" s="7" t="s">
        <v>4000</v>
      </c>
      <c r="K1344" s="7" t="s">
        <v>6859</v>
      </c>
      <c r="L1344" s="7" t="s">
        <v>6860</v>
      </c>
      <c r="M1344" s="7">
        <v>4</v>
      </c>
      <c r="N1344" s="7">
        <v>28</v>
      </c>
      <c r="O1344" s="7" t="s">
        <v>42</v>
      </c>
      <c r="P1344" s="7" t="s">
        <v>43</v>
      </c>
      <c r="Q1344" s="7">
        <v>0</v>
      </c>
      <c r="R1344" s="7">
        <v>0</v>
      </c>
      <c r="S1344" s="7">
        <v>0</v>
      </c>
      <c r="T1344" s="7">
        <v>0</v>
      </c>
      <c r="U1344" s="7">
        <v>20</v>
      </c>
      <c r="V1344" s="7" t="s">
        <v>6861</v>
      </c>
      <c r="W1344" s="7">
        <v>0</v>
      </c>
      <c r="X1344" s="7">
        <v>20</v>
      </c>
      <c r="Y1344" s="7">
        <v>6</v>
      </c>
      <c r="Z1344" s="7">
        <v>3</v>
      </c>
      <c r="AA1344" s="7">
        <v>0</v>
      </c>
      <c r="AB1344" s="7">
        <v>0</v>
      </c>
      <c r="AC1344" s="7" t="s">
        <v>0</v>
      </c>
      <c r="AD1344" s="7">
        <v>1</v>
      </c>
      <c r="AE1344" s="7" t="s">
        <v>45</v>
      </c>
    </row>
    <row r="1345" spans="1:31" ht="25.5" x14ac:dyDescent="0.2">
      <c r="A1345" s="8" t="str">
        <f>HYPERLINK("http://www.patentics.cn/invokexml.do?sx=showpatent_cn&amp;sf=ShowPatent&amp;spn=CN103262097B&amp;sx=showpatent_cn&amp;sv=afea7ec47da84d33867049eb8bb915e1","CN103262097B")</f>
        <v>CN103262097B</v>
      </c>
      <c r="B1345" s="9" t="s">
        <v>6388</v>
      </c>
      <c r="C1345" s="9" t="s">
        <v>6389</v>
      </c>
      <c r="D1345" s="9" t="s">
        <v>301</v>
      </c>
      <c r="E1345" s="9" t="s">
        <v>301</v>
      </c>
      <c r="F1345" s="9" t="s">
        <v>6390</v>
      </c>
      <c r="G1345" s="9" t="s">
        <v>6390</v>
      </c>
      <c r="H1345" s="9" t="s">
        <v>6391</v>
      </c>
      <c r="I1345" s="9" t="s">
        <v>6392</v>
      </c>
      <c r="J1345" s="9" t="s">
        <v>6393</v>
      </c>
      <c r="K1345" s="9" t="s">
        <v>529</v>
      </c>
      <c r="L1345" s="9" t="s">
        <v>6394</v>
      </c>
      <c r="M1345" s="9">
        <v>41</v>
      </c>
      <c r="N1345" s="9">
        <v>16</v>
      </c>
      <c r="O1345" s="9" t="s">
        <v>57</v>
      </c>
      <c r="P1345" s="9" t="s">
        <v>58</v>
      </c>
      <c r="Q1345" s="9">
        <v>5</v>
      </c>
      <c r="R1345" s="9">
        <v>0</v>
      </c>
      <c r="S1345" s="9">
        <v>5</v>
      </c>
      <c r="T1345" s="9">
        <v>4</v>
      </c>
      <c r="U1345" s="9">
        <v>0</v>
      </c>
      <c r="V1345" s="9" t="s">
        <v>114</v>
      </c>
      <c r="W1345" s="9">
        <v>0</v>
      </c>
      <c r="X1345" s="9">
        <v>0</v>
      </c>
      <c r="Y1345" s="9">
        <v>0</v>
      </c>
      <c r="Z1345" s="9">
        <v>0</v>
      </c>
      <c r="AA1345" s="9">
        <v>8</v>
      </c>
      <c r="AB1345" s="9">
        <v>6</v>
      </c>
      <c r="AC1345" s="9">
        <v>14</v>
      </c>
      <c r="AD1345" s="9" t="s">
        <v>0</v>
      </c>
      <c r="AE1345" s="9" t="s">
        <v>60</v>
      </c>
    </row>
    <row r="1346" spans="1:31" ht="51" x14ac:dyDescent="0.2">
      <c r="A1346" s="6" t="str">
        <f>HYPERLINK("http://www.patentics.cn/invokexml.do?sx=showpatent_cn&amp;sf=ShowPatent&amp;spn=CN101213846&amp;sx=showpatent_cn&amp;sv=0191ceaf0f20d9c48dd87efad63e6efe","CN101213846")</f>
        <v>CN101213846</v>
      </c>
      <c r="B1346" s="7" t="s">
        <v>6862</v>
      </c>
      <c r="C1346" s="7" t="s">
        <v>6863</v>
      </c>
      <c r="D1346" s="7" t="s">
        <v>6864</v>
      </c>
      <c r="E1346" s="7" t="s">
        <v>6865</v>
      </c>
      <c r="F1346" s="7" t="s">
        <v>6866</v>
      </c>
      <c r="G1346" s="7" t="s">
        <v>6867</v>
      </c>
      <c r="H1346" s="7" t="s">
        <v>6868</v>
      </c>
      <c r="I1346" s="7" t="s">
        <v>6869</v>
      </c>
      <c r="J1346" s="7" t="s">
        <v>2938</v>
      </c>
      <c r="K1346" s="7" t="s">
        <v>714</v>
      </c>
      <c r="L1346" s="7" t="s">
        <v>6870</v>
      </c>
      <c r="M1346" s="7">
        <v>18</v>
      </c>
      <c r="N1346" s="7">
        <v>15</v>
      </c>
      <c r="O1346" s="7" t="s">
        <v>42</v>
      </c>
      <c r="P1346" s="7" t="s">
        <v>341</v>
      </c>
      <c r="Q1346" s="7">
        <v>0</v>
      </c>
      <c r="R1346" s="7">
        <v>0</v>
      </c>
      <c r="S1346" s="7">
        <v>0</v>
      </c>
      <c r="T1346" s="7">
        <v>0</v>
      </c>
      <c r="U1346" s="7">
        <v>11</v>
      </c>
      <c r="V1346" s="7" t="s">
        <v>6871</v>
      </c>
      <c r="W1346" s="7">
        <v>0</v>
      </c>
      <c r="X1346" s="7">
        <v>11</v>
      </c>
      <c r="Y1346" s="7">
        <v>8</v>
      </c>
      <c r="Z1346" s="7">
        <v>3</v>
      </c>
      <c r="AA1346" s="7">
        <v>8</v>
      </c>
      <c r="AB1346" s="7">
        <v>6</v>
      </c>
      <c r="AC1346" s="7" t="s">
        <v>0</v>
      </c>
      <c r="AD1346" s="7">
        <v>1</v>
      </c>
      <c r="AE1346" s="7" t="s">
        <v>1390</v>
      </c>
    </row>
    <row r="1347" spans="1:31" ht="63.75" x14ac:dyDescent="0.2">
      <c r="A1347" s="8" t="str">
        <f>HYPERLINK("http://www.patentics.cn/invokexml.do?sx=showpatent_cn&amp;sf=ShowPatent&amp;spn=US9438913&amp;sx=showpatent_cn&amp;sv=90f6680fa775e499e73f93be0dd46d13","US9438913")</f>
        <v>US9438913</v>
      </c>
      <c r="B1347" s="9" t="s">
        <v>6872</v>
      </c>
      <c r="C1347" s="9" t="s">
        <v>6873</v>
      </c>
      <c r="D1347" s="9" t="s">
        <v>6874</v>
      </c>
      <c r="E1347" s="9" t="s">
        <v>49</v>
      </c>
      <c r="F1347" s="9" t="s">
        <v>6875</v>
      </c>
      <c r="G1347" s="9" t="s">
        <v>6876</v>
      </c>
      <c r="H1347" s="9" t="s">
        <v>6877</v>
      </c>
      <c r="I1347" s="9" t="s">
        <v>6878</v>
      </c>
      <c r="J1347" s="9" t="s">
        <v>827</v>
      </c>
      <c r="K1347" s="9" t="s">
        <v>714</v>
      </c>
      <c r="L1347" s="9" t="s">
        <v>1360</v>
      </c>
      <c r="M1347" s="9">
        <v>15</v>
      </c>
      <c r="N1347" s="9">
        <v>20</v>
      </c>
      <c r="O1347" s="9" t="s">
        <v>57</v>
      </c>
      <c r="P1347" s="9" t="s">
        <v>58</v>
      </c>
      <c r="Q1347" s="9">
        <v>27</v>
      </c>
      <c r="R1347" s="9">
        <v>0</v>
      </c>
      <c r="S1347" s="9">
        <v>27</v>
      </c>
      <c r="T1347" s="9">
        <v>11</v>
      </c>
      <c r="U1347" s="9">
        <v>0</v>
      </c>
      <c r="V1347" s="9" t="s">
        <v>114</v>
      </c>
      <c r="W1347" s="9">
        <v>0</v>
      </c>
      <c r="X1347" s="9">
        <v>0</v>
      </c>
      <c r="Y1347" s="9">
        <v>0</v>
      </c>
      <c r="Z1347" s="9">
        <v>0</v>
      </c>
      <c r="AA1347" s="9">
        <v>0</v>
      </c>
      <c r="AB1347" s="9">
        <v>0</v>
      </c>
      <c r="AC1347" s="9">
        <v>14</v>
      </c>
      <c r="AD1347" s="9" t="s">
        <v>0</v>
      </c>
      <c r="AE1347" s="9" t="s">
        <v>60</v>
      </c>
    </row>
    <row r="1348" spans="1:31" ht="38.25" x14ac:dyDescent="0.2">
      <c r="A1348" s="6" t="str">
        <f>HYPERLINK("http://www.patentics.cn/invokexml.do?sx=showpatent_cn&amp;sf=ShowPatent&amp;spn=CN101198052&amp;sx=showpatent_cn&amp;sv=2d329b9d3f3772fa1f08a7eca10bead8","CN101198052")</f>
        <v>CN101198052</v>
      </c>
      <c r="B1348" s="7" t="s">
        <v>6879</v>
      </c>
      <c r="C1348" s="7" t="s">
        <v>6880</v>
      </c>
      <c r="D1348" s="7" t="s">
        <v>2267</v>
      </c>
      <c r="E1348" s="7" t="s">
        <v>2267</v>
      </c>
      <c r="F1348" s="7" t="s">
        <v>6881</v>
      </c>
      <c r="G1348" s="7" t="s">
        <v>6882</v>
      </c>
      <c r="H1348" s="7" t="s">
        <v>75</v>
      </c>
      <c r="I1348" s="7" t="s">
        <v>75</v>
      </c>
      <c r="J1348" s="7" t="s">
        <v>6710</v>
      </c>
      <c r="K1348" s="7" t="s">
        <v>714</v>
      </c>
      <c r="L1348" s="7" t="s">
        <v>1346</v>
      </c>
      <c r="M1348" s="7">
        <v>13</v>
      </c>
      <c r="N1348" s="7">
        <v>11</v>
      </c>
      <c r="O1348" s="7" t="s">
        <v>42</v>
      </c>
      <c r="P1348" s="7" t="s">
        <v>43</v>
      </c>
      <c r="Q1348" s="7">
        <v>0</v>
      </c>
      <c r="R1348" s="7">
        <v>0</v>
      </c>
      <c r="S1348" s="7">
        <v>0</v>
      </c>
      <c r="T1348" s="7">
        <v>0</v>
      </c>
      <c r="U1348" s="7">
        <v>1</v>
      </c>
      <c r="V1348" s="7" t="s">
        <v>142</v>
      </c>
      <c r="W1348" s="7">
        <v>0</v>
      </c>
      <c r="X1348" s="7">
        <v>1</v>
      </c>
      <c r="Y1348" s="7">
        <v>1</v>
      </c>
      <c r="Z1348" s="7">
        <v>1</v>
      </c>
      <c r="AA1348" s="7">
        <v>2</v>
      </c>
      <c r="AB1348" s="7">
        <v>2</v>
      </c>
      <c r="AC1348" s="7" t="s">
        <v>0</v>
      </c>
      <c r="AD1348" s="7">
        <v>1</v>
      </c>
      <c r="AE1348" s="7" t="s">
        <v>532</v>
      </c>
    </row>
    <row r="1349" spans="1:31" ht="102" x14ac:dyDescent="0.2">
      <c r="A1349" s="8" t="str">
        <f>HYPERLINK("http://www.patentics.cn/invokexml.do?sx=showpatent_cn&amp;sf=ShowPatent&amp;spn=US9706227&amp;sx=showpatent_cn&amp;sv=ea4fa2df6893794a15b478381c223019","US9706227")</f>
        <v>US9706227</v>
      </c>
      <c r="B1349" s="9" t="s">
        <v>6883</v>
      </c>
      <c r="C1349" s="9" t="s">
        <v>6884</v>
      </c>
      <c r="D1349" s="9" t="s">
        <v>48</v>
      </c>
      <c r="E1349" s="9" t="s">
        <v>49</v>
      </c>
      <c r="F1349" s="9" t="s">
        <v>6885</v>
      </c>
      <c r="G1349" s="9" t="s">
        <v>6886</v>
      </c>
      <c r="H1349" s="9" t="s">
        <v>3781</v>
      </c>
      <c r="I1349" s="9" t="s">
        <v>6887</v>
      </c>
      <c r="J1349" s="9" t="s">
        <v>1444</v>
      </c>
      <c r="K1349" s="9" t="s">
        <v>714</v>
      </c>
      <c r="L1349" s="9" t="s">
        <v>1360</v>
      </c>
      <c r="M1349" s="9">
        <v>16</v>
      </c>
      <c r="N1349" s="9">
        <v>19</v>
      </c>
      <c r="O1349" s="9" t="s">
        <v>57</v>
      </c>
      <c r="P1349" s="9" t="s">
        <v>58</v>
      </c>
      <c r="Q1349" s="9">
        <v>22</v>
      </c>
      <c r="R1349" s="9">
        <v>2</v>
      </c>
      <c r="S1349" s="9">
        <v>20</v>
      </c>
      <c r="T1349" s="9">
        <v>11</v>
      </c>
      <c r="U1349" s="9">
        <v>0</v>
      </c>
      <c r="V1349" s="9" t="s">
        <v>114</v>
      </c>
      <c r="W1349" s="9">
        <v>0</v>
      </c>
      <c r="X1349" s="9">
        <v>0</v>
      </c>
      <c r="Y1349" s="9">
        <v>0</v>
      </c>
      <c r="Z1349" s="9">
        <v>0</v>
      </c>
      <c r="AA1349" s="9">
        <v>21</v>
      </c>
      <c r="AB1349" s="9">
        <v>15</v>
      </c>
      <c r="AC1349" s="9">
        <v>14</v>
      </c>
      <c r="AD1349" s="9" t="s">
        <v>0</v>
      </c>
      <c r="AE1349" s="9" t="s">
        <v>60</v>
      </c>
    </row>
    <row r="1350" spans="1:31" ht="38.25" x14ac:dyDescent="0.2">
      <c r="A1350" s="6" t="str">
        <f>HYPERLINK("http://www.patentics.cn/invokexml.do?sx=showpatent_cn&amp;sf=ShowPatent&amp;spn=CN101154289&amp;sx=showpatent_cn&amp;sv=87020e483fb7ec73f69d10df01fc8e54","CN101154289")</f>
        <v>CN101154289</v>
      </c>
      <c r="B1350" s="7" t="s">
        <v>6888</v>
      </c>
      <c r="C1350" s="7" t="s">
        <v>6889</v>
      </c>
      <c r="D1350" s="7" t="s">
        <v>1341</v>
      </c>
      <c r="E1350" s="7" t="s">
        <v>1341</v>
      </c>
      <c r="F1350" s="7" t="s">
        <v>6890</v>
      </c>
      <c r="G1350" s="7" t="s">
        <v>6891</v>
      </c>
      <c r="H1350" s="7" t="s">
        <v>6892</v>
      </c>
      <c r="I1350" s="7" t="s">
        <v>6892</v>
      </c>
      <c r="J1350" s="7" t="s">
        <v>6893</v>
      </c>
      <c r="K1350" s="7" t="s">
        <v>2163</v>
      </c>
      <c r="L1350" s="7" t="s">
        <v>3162</v>
      </c>
      <c r="M1350" s="7">
        <v>9</v>
      </c>
      <c r="N1350" s="7">
        <v>30</v>
      </c>
      <c r="O1350" s="7" t="s">
        <v>42</v>
      </c>
      <c r="P1350" s="7" t="s">
        <v>43</v>
      </c>
      <c r="Q1350" s="7">
        <v>0</v>
      </c>
      <c r="R1350" s="7">
        <v>0</v>
      </c>
      <c r="S1350" s="7">
        <v>0</v>
      </c>
      <c r="T1350" s="7">
        <v>0</v>
      </c>
      <c r="U1350" s="7">
        <v>12</v>
      </c>
      <c r="V1350" s="7" t="s">
        <v>1254</v>
      </c>
      <c r="W1350" s="7">
        <v>0</v>
      </c>
      <c r="X1350" s="7">
        <v>12</v>
      </c>
      <c r="Y1350" s="7">
        <v>6</v>
      </c>
      <c r="Z1350" s="7">
        <v>2</v>
      </c>
      <c r="AA1350" s="7">
        <v>1</v>
      </c>
      <c r="AB1350" s="7">
        <v>1</v>
      </c>
      <c r="AC1350" s="7" t="s">
        <v>0</v>
      </c>
      <c r="AD1350" s="7">
        <v>1</v>
      </c>
      <c r="AE1350" s="7" t="s">
        <v>532</v>
      </c>
    </row>
    <row r="1351" spans="1:31" ht="127.5" x14ac:dyDescent="0.2">
      <c r="A1351" s="8" t="str">
        <f>HYPERLINK("http://www.patentics.cn/invokexml.do?sx=showpatent_cn&amp;sf=ShowPatent&amp;spn=CN104364823B&amp;sx=showpatent_cn&amp;sv=3474aa6739de2c7084e191cb318e4a06","CN104364823B")</f>
        <v>CN104364823B</v>
      </c>
      <c r="B1351" s="9" t="s">
        <v>6894</v>
      </c>
      <c r="C1351" s="9" t="s">
        <v>6895</v>
      </c>
      <c r="D1351" s="9" t="s">
        <v>301</v>
      </c>
      <c r="E1351" s="9" t="s">
        <v>301</v>
      </c>
      <c r="F1351" s="9" t="s">
        <v>6896</v>
      </c>
      <c r="G1351" s="9" t="s">
        <v>6897</v>
      </c>
      <c r="H1351" s="9" t="s">
        <v>6898</v>
      </c>
      <c r="I1351" s="9" t="s">
        <v>6899</v>
      </c>
      <c r="J1351" s="9" t="s">
        <v>6900</v>
      </c>
      <c r="K1351" s="9" t="s">
        <v>2163</v>
      </c>
      <c r="L1351" s="9" t="s">
        <v>6901</v>
      </c>
      <c r="M1351" s="9">
        <v>23</v>
      </c>
      <c r="N1351" s="9">
        <v>11</v>
      </c>
      <c r="O1351" s="9" t="s">
        <v>57</v>
      </c>
      <c r="P1351" s="9" t="s">
        <v>58</v>
      </c>
      <c r="Q1351" s="9">
        <v>3</v>
      </c>
      <c r="R1351" s="9">
        <v>0</v>
      </c>
      <c r="S1351" s="9">
        <v>3</v>
      </c>
      <c r="T1351" s="9">
        <v>2</v>
      </c>
      <c r="U1351" s="9">
        <v>0</v>
      </c>
      <c r="V1351" s="9" t="s">
        <v>114</v>
      </c>
      <c r="W1351" s="9">
        <v>0</v>
      </c>
      <c r="X1351" s="9">
        <v>0</v>
      </c>
      <c r="Y1351" s="9">
        <v>0</v>
      </c>
      <c r="Z1351" s="9">
        <v>0</v>
      </c>
      <c r="AA1351" s="9">
        <v>0</v>
      </c>
      <c r="AB1351" s="9">
        <v>0</v>
      </c>
      <c r="AC1351" s="9">
        <v>14</v>
      </c>
      <c r="AD1351" s="9" t="s">
        <v>0</v>
      </c>
      <c r="AE1351" s="9" t="s">
        <v>60</v>
      </c>
    </row>
    <row r="1352" spans="1:31" ht="38.25" x14ac:dyDescent="0.2">
      <c r="A1352" s="6" t="str">
        <f>HYPERLINK("http://www.patentics.cn/invokexml.do?sx=showpatent_cn&amp;sf=ShowPatent&amp;spn=CN101149445&amp;sx=showpatent_cn&amp;sv=bf986827cf6257f0f47f7eb03577f4b2","CN101149445")</f>
        <v>CN101149445</v>
      </c>
      <c r="B1352" s="7" t="s">
        <v>6902</v>
      </c>
      <c r="C1352" s="7" t="s">
        <v>6903</v>
      </c>
      <c r="D1352" s="7" t="s">
        <v>1383</v>
      </c>
      <c r="E1352" s="7" t="s">
        <v>1383</v>
      </c>
      <c r="F1352" s="7" t="s">
        <v>6904</v>
      </c>
      <c r="G1352" s="7" t="s">
        <v>6905</v>
      </c>
      <c r="H1352" s="7" t="s">
        <v>6906</v>
      </c>
      <c r="I1352" s="7" t="s">
        <v>6906</v>
      </c>
      <c r="J1352" s="7" t="s">
        <v>4093</v>
      </c>
      <c r="K1352" s="7" t="s">
        <v>622</v>
      </c>
      <c r="L1352" s="7" t="s">
        <v>6907</v>
      </c>
      <c r="M1352" s="7">
        <v>4</v>
      </c>
      <c r="N1352" s="7">
        <v>16</v>
      </c>
      <c r="O1352" s="7" t="s">
        <v>42</v>
      </c>
      <c r="P1352" s="7" t="s">
        <v>43</v>
      </c>
      <c r="Q1352" s="7">
        <v>0</v>
      </c>
      <c r="R1352" s="7">
        <v>0</v>
      </c>
      <c r="S1352" s="7">
        <v>0</v>
      </c>
      <c r="T1352" s="7">
        <v>0</v>
      </c>
      <c r="U1352" s="7">
        <v>5</v>
      </c>
      <c r="V1352" s="7" t="s">
        <v>6908</v>
      </c>
      <c r="W1352" s="7">
        <v>0</v>
      </c>
      <c r="X1352" s="7">
        <v>5</v>
      </c>
      <c r="Y1352" s="7">
        <v>4</v>
      </c>
      <c r="Z1352" s="7">
        <v>2</v>
      </c>
      <c r="AA1352" s="7">
        <v>1</v>
      </c>
      <c r="AB1352" s="7">
        <v>1</v>
      </c>
      <c r="AC1352" s="7" t="s">
        <v>0</v>
      </c>
      <c r="AD1352" s="7">
        <v>1</v>
      </c>
      <c r="AE1352" s="7" t="s">
        <v>60</v>
      </c>
    </row>
    <row r="1353" spans="1:31" ht="63.75" x14ac:dyDescent="0.2">
      <c r="A1353" s="8" t="str">
        <f>HYPERLINK("http://www.patentics.cn/invokexml.do?sx=showpatent_cn&amp;sf=ShowPatent&amp;spn=US8902484&amp;sx=showpatent_cn&amp;sv=fb82f4d4e5687c3f08fcee9c976e9185","US8902484")</f>
        <v>US8902484</v>
      </c>
      <c r="B1353" s="9" t="s">
        <v>6909</v>
      </c>
      <c r="C1353" s="9" t="s">
        <v>6910</v>
      </c>
      <c r="D1353" s="9" t="s">
        <v>648</v>
      </c>
      <c r="E1353" s="9" t="s">
        <v>49</v>
      </c>
      <c r="F1353" s="9" t="s">
        <v>6911</v>
      </c>
      <c r="G1353" s="9" t="s">
        <v>6912</v>
      </c>
      <c r="H1353" s="9" t="s">
        <v>5875</v>
      </c>
      <c r="I1353" s="9" t="s">
        <v>5875</v>
      </c>
      <c r="J1353" s="9" t="s">
        <v>403</v>
      </c>
      <c r="K1353" s="9" t="s">
        <v>622</v>
      </c>
      <c r="L1353" s="9" t="s">
        <v>6913</v>
      </c>
      <c r="M1353" s="9">
        <v>31</v>
      </c>
      <c r="N1353" s="9">
        <v>15</v>
      </c>
      <c r="O1353" s="9" t="s">
        <v>57</v>
      </c>
      <c r="P1353" s="9" t="s">
        <v>58</v>
      </c>
      <c r="Q1353" s="9">
        <v>770</v>
      </c>
      <c r="R1353" s="9">
        <v>87</v>
      </c>
      <c r="S1353" s="9">
        <v>683</v>
      </c>
      <c r="T1353" s="9">
        <v>223</v>
      </c>
      <c r="U1353" s="9">
        <v>0</v>
      </c>
      <c r="V1353" s="9" t="s">
        <v>114</v>
      </c>
      <c r="W1353" s="9">
        <v>0</v>
      </c>
      <c r="X1353" s="9">
        <v>0</v>
      </c>
      <c r="Y1353" s="9">
        <v>0</v>
      </c>
      <c r="Z1353" s="9">
        <v>0</v>
      </c>
      <c r="AA1353" s="9">
        <v>2</v>
      </c>
      <c r="AB1353" s="9">
        <v>2</v>
      </c>
      <c r="AC1353" s="9">
        <v>14</v>
      </c>
      <c r="AD1353" s="9" t="s">
        <v>0</v>
      </c>
      <c r="AE1353" s="9" t="s">
        <v>60</v>
      </c>
    </row>
    <row r="1354" spans="1:31" ht="51" x14ac:dyDescent="0.2">
      <c r="A1354" s="6" t="str">
        <f>HYPERLINK("http://www.patentics.cn/invokexml.do?sx=showpatent_cn&amp;sf=ShowPatent&amp;spn=CN101144835&amp;sx=showpatent_cn&amp;sv=6f644fe0d885d3ef632dd8a728cbf3ad","CN101144835")</f>
        <v>CN101144835</v>
      </c>
      <c r="B1354" s="7" t="s">
        <v>6914</v>
      </c>
      <c r="C1354" s="7" t="s">
        <v>6915</v>
      </c>
      <c r="D1354" s="7" t="s">
        <v>35</v>
      </c>
      <c r="E1354" s="7" t="s">
        <v>35</v>
      </c>
      <c r="F1354" s="7" t="s">
        <v>6916</v>
      </c>
      <c r="G1354" s="7" t="s">
        <v>6917</v>
      </c>
      <c r="H1354" s="7" t="s">
        <v>6918</v>
      </c>
      <c r="I1354" s="7" t="s">
        <v>6918</v>
      </c>
      <c r="J1354" s="7" t="s">
        <v>6919</v>
      </c>
      <c r="K1354" s="7" t="s">
        <v>2217</v>
      </c>
      <c r="L1354" s="7" t="s">
        <v>6920</v>
      </c>
      <c r="M1354" s="7">
        <v>3</v>
      </c>
      <c r="N1354" s="7">
        <v>26</v>
      </c>
      <c r="O1354" s="7" t="s">
        <v>42</v>
      </c>
      <c r="P1354" s="7" t="s">
        <v>43</v>
      </c>
      <c r="Q1354" s="7">
        <v>0</v>
      </c>
      <c r="R1354" s="7">
        <v>0</v>
      </c>
      <c r="S1354" s="7">
        <v>0</v>
      </c>
      <c r="T1354" s="7">
        <v>0</v>
      </c>
      <c r="U1354" s="7">
        <v>9</v>
      </c>
      <c r="V1354" s="7" t="s">
        <v>6921</v>
      </c>
      <c r="W1354" s="7">
        <v>1</v>
      </c>
      <c r="X1354" s="7">
        <v>8</v>
      </c>
      <c r="Y1354" s="7">
        <v>7</v>
      </c>
      <c r="Z1354" s="7">
        <v>1</v>
      </c>
      <c r="AA1354" s="7">
        <v>1</v>
      </c>
      <c r="AB1354" s="7">
        <v>1</v>
      </c>
      <c r="AC1354" s="7" t="s">
        <v>0</v>
      </c>
      <c r="AD1354" s="7">
        <v>1</v>
      </c>
      <c r="AE1354" s="7" t="s">
        <v>532</v>
      </c>
    </row>
    <row r="1355" spans="1:31" ht="38.25" x14ac:dyDescent="0.2">
      <c r="A1355" s="8" t="str">
        <f>HYPERLINK("http://www.patentics.cn/invokexml.do?sx=showpatent_cn&amp;sf=ShowPatent&amp;spn=CN102007696B&amp;sx=showpatent_cn&amp;sv=c4097952f0a039e1f02db7e17e55c82a","CN102007696B")</f>
        <v>CN102007696B</v>
      </c>
      <c r="B1355" s="9" t="s">
        <v>6922</v>
      </c>
      <c r="C1355" s="9" t="s">
        <v>6923</v>
      </c>
      <c r="D1355" s="9" t="s">
        <v>301</v>
      </c>
      <c r="E1355" s="9" t="s">
        <v>301</v>
      </c>
      <c r="F1355" s="9" t="s">
        <v>6924</v>
      </c>
      <c r="G1355" s="9" t="s">
        <v>6925</v>
      </c>
      <c r="H1355" s="9" t="s">
        <v>6926</v>
      </c>
      <c r="I1355" s="9" t="s">
        <v>677</v>
      </c>
      <c r="J1355" s="9" t="s">
        <v>3003</v>
      </c>
      <c r="K1355" s="9" t="s">
        <v>68</v>
      </c>
      <c r="L1355" s="9" t="s">
        <v>6698</v>
      </c>
      <c r="M1355" s="9">
        <v>35</v>
      </c>
      <c r="N1355" s="9">
        <v>14</v>
      </c>
      <c r="O1355" s="9" t="s">
        <v>57</v>
      </c>
      <c r="P1355" s="9" t="s">
        <v>58</v>
      </c>
      <c r="Q1355" s="9">
        <v>4</v>
      </c>
      <c r="R1355" s="9">
        <v>0</v>
      </c>
      <c r="S1355" s="9">
        <v>4</v>
      </c>
      <c r="T1355" s="9">
        <v>4</v>
      </c>
      <c r="U1355" s="9">
        <v>0</v>
      </c>
      <c r="V1355" s="9" t="s">
        <v>114</v>
      </c>
      <c r="W1355" s="9">
        <v>0</v>
      </c>
      <c r="X1355" s="9">
        <v>0</v>
      </c>
      <c r="Y1355" s="9">
        <v>0</v>
      </c>
      <c r="Z1355" s="9">
        <v>0</v>
      </c>
      <c r="AA1355" s="9">
        <v>0</v>
      </c>
      <c r="AB1355" s="9">
        <v>0</v>
      </c>
      <c r="AC1355" s="9">
        <v>14</v>
      </c>
      <c r="AD1355" s="9" t="s">
        <v>0</v>
      </c>
      <c r="AE1355" s="9" t="s">
        <v>60</v>
      </c>
    </row>
    <row r="1356" spans="1:31" ht="76.5" x14ac:dyDescent="0.2">
      <c r="A1356" s="6" t="str">
        <f>HYPERLINK("http://www.patentics.cn/invokexml.do?sx=showpatent_cn&amp;sf=ShowPatent&amp;spn=CN101142775&amp;sx=showpatent_cn&amp;sv=837d4aac2c39fed30cc8fcb4d162b7b3","CN101142775")</f>
        <v>CN101142775</v>
      </c>
      <c r="B1356" s="7" t="s">
        <v>6927</v>
      </c>
      <c r="C1356" s="7" t="s">
        <v>6928</v>
      </c>
      <c r="D1356" s="7" t="s">
        <v>6929</v>
      </c>
      <c r="E1356" s="7" t="s">
        <v>6930</v>
      </c>
      <c r="F1356" s="7" t="s">
        <v>6931</v>
      </c>
      <c r="G1356" s="7" t="s">
        <v>6932</v>
      </c>
      <c r="H1356" s="7" t="s">
        <v>6933</v>
      </c>
      <c r="I1356" s="7" t="s">
        <v>6934</v>
      </c>
      <c r="J1356" s="7" t="s">
        <v>4110</v>
      </c>
      <c r="K1356" s="7" t="s">
        <v>40</v>
      </c>
      <c r="L1356" s="7" t="s">
        <v>41</v>
      </c>
      <c r="M1356" s="7">
        <v>18</v>
      </c>
      <c r="N1356" s="7">
        <v>20</v>
      </c>
      <c r="O1356" s="7" t="s">
        <v>42</v>
      </c>
      <c r="P1356" s="7" t="s">
        <v>2681</v>
      </c>
      <c r="Q1356" s="7">
        <v>1</v>
      </c>
      <c r="R1356" s="7">
        <v>0</v>
      </c>
      <c r="S1356" s="7">
        <v>1</v>
      </c>
      <c r="T1356" s="7">
        <v>1</v>
      </c>
      <c r="U1356" s="7">
        <v>3</v>
      </c>
      <c r="V1356" s="7" t="s">
        <v>6935</v>
      </c>
      <c r="W1356" s="7">
        <v>2</v>
      </c>
      <c r="X1356" s="7">
        <v>1</v>
      </c>
      <c r="Y1356" s="7">
        <v>2</v>
      </c>
      <c r="Z1356" s="7">
        <v>2</v>
      </c>
      <c r="AA1356" s="7">
        <v>11</v>
      </c>
      <c r="AB1356" s="7">
        <v>5</v>
      </c>
      <c r="AC1356" s="7" t="s">
        <v>0</v>
      </c>
      <c r="AD1356" s="7">
        <v>1</v>
      </c>
      <c r="AE1356" s="7" t="s">
        <v>60</v>
      </c>
    </row>
    <row r="1357" spans="1:31" ht="140.25" x14ac:dyDescent="0.2">
      <c r="A1357" s="8" t="str">
        <f>HYPERLINK("http://www.patentics.cn/invokexml.do?sx=showpatent_cn&amp;sf=ShowPatent&amp;spn=US9231806&amp;sx=showpatent_cn&amp;sv=9663c7fedb958e5b1e3f0b0356f6e5dd","US9231806")</f>
        <v>US9231806</v>
      </c>
      <c r="B1357" s="9" t="s">
        <v>6936</v>
      </c>
      <c r="C1357" s="9" t="s">
        <v>6937</v>
      </c>
      <c r="D1357" s="9" t="s">
        <v>48</v>
      </c>
      <c r="E1357" s="9" t="s">
        <v>49</v>
      </c>
      <c r="F1357" s="9" t="s">
        <v>6938</v>
      </c>
      <c r="G1357" s="9" t="s">
        <v>6939</v>
      </c>
      <c r="H1357" s="9" t="s">
        <v>6940</v>
      </c>
      <c r="I1357" s="9" t="s">
        <v>723</v>
      </c>
      <c r="J1357" s="9" t="s">
        <v>762</v>
      </c>
      <c r="K1357" s="9" t="s">
        <v>89</v>
      </c>
      <c r="L1357" s="9" t="s">
        <v>104</v>
      </c>
      <c r="M1357" s="9">
        <v>42</v>
      </c>
      <c r="N1357" s="9">
        <v>9</v>
      </c>
      <c r="O1357" s="9" t="s">
        <v>57</v>
      </c>
      <c r="P1357" s="9" t="s">
        <v>58</v>
      </c>
      <c r="Q1357" s="9">
        <v>59</v>
      </c>
      <c r="R1357" s="9">
        <v>10</v>
      </c>
      <c r="S1357" s="9">
        <v>49</v>
      </c>
      <c r="T1357" s="9">
        <v>27</v>
      </c>
      <c r="U1357" s="9">
        <v>1</v>
      </c>
      <c r="V1357" s="9" t="s">
        <v>70</v>
      </c>
      <c r="W1357" s="9">
        <v>0</v>
      </c>
      <c r="X1357" s="9">
        <v>1</v>
      </c>
      <c r="Y1357" s="9">
        <v>1</v>
      </c>
      <c r="Z1357" s="9">
        <v>1</v>
      </c>
      <c r="AA1357" s="9">
        <v>12</v>
      </c>
      <c r="AB1357" s="9">
        <v>7</v>
      </c>
      <c r="AC1357" s="9">
        <v>14</v>
      </c>
      <c r="AD1357" s="9" t="s">
        <v>0</v>
      </c>
      <c r="AE1357" s="9" t="s">
        <v>60</v>
      </c>
    </row>
    <row r="1358" spans="1:31" ht="51" x14ac:dyDescent="0.2">
      <c r="A1358" s="6" t="str">
        <f>HYPERLINK("http://www.patentics.cn/invokexml.do?sx=showpatent_cn&amp;sf=ShowPatent&amp;spn=CN101126644&amp;sx=showpatent_cn&amp;sv=fe83463478021061fe01144572af2065","CN101126644")</f>
        <v>CN101126644</v>
      </c>
      <c r="B1358" s="7" t="s">
        <v>6941</v>
      </c>
      <c r="C1358" s="7" t="s">
        <v>6942</v>
      </c>
      <c r="D1358" s="7" t="s">
        <v>932</v>
      </c>
      <c r="E1358" s="7" t="s">
        <v>932</v>
      </c>
      <c r="F1358" s="7" t="s">
        <v>6943</v>
      </c>
      <c r="G1358" s="7" t="s">
        <v>6944</v>
      </c>
      <c r="H1358" s="7" t="s">
        <v>0</v>
      </c>
      <c r="I1358" s="7" t="s">
        <v>1551</v>
      </c>
      <c r="J1358" s="7" t="s">
        <v>1552</v>
      </c>
      <c r="K1358" s="7" t="s">
        <v>937</v>
      </c>
      <c r="L1358" s="7" t="s">
        <v>6945</v>
      </c>
      <c r="M1358" s="7">
        <v>6</v>
      </c>
      <c r="N1358" s="7">
        <v>31</v>
      </c>
      <c r="O1358" s="7" t="s">
        <v>42</v>
      </c>
      <c r="P1358" s="7" t="s">
        <v>43</v>
      </c>
      <c r="Q1358" s="7">
        <v>1</v>
      </c>
      <c r="R1358" s="7">
        <v>1</v>
      </c>
      <c r="S1358" s="7">
        <v>0</v>
      </c>
      <c r="T1358" s="7">
        <v>1</v>
      </c>
      <c r="U1358" s="7">
        <v>11</v>
      </c>
      <c r="V1358" s="7" t="s">
        <v>6946</v>
      </c>
      <c r="W1358" s="7">
        <v>2</v>
      </c>
      <c r="X1358" s="7">
        <v>9</v>
      </c>
      <c r="Y1358" s="7">
        <v>6</v>
      </c>
      <c r="Z1358" s="7">
        <v>1</v>
      </c>
      <c r="AA1358" s="7">
        <v>0</v>
      </c>
      <c r="AB1358" s="7">
        <v>0</v>
      </c>
      <c r="AC1358" s="7" t="s">
        <v>0</v>
      </c>
      <c r="AD1358" s="7">
        <v>1</v>
      </c>
      <c r="AE1358" s="7" t="s">
        <v>45</v>
      </c>
    </row>
    <row r="1359" spans="1:31" ht="51" x14ac:dyDescent="0.2">
      <c r="A1359" s="8" t="str">
        <f>HYPERLINK("http://www.patentics.cn/invokexml.do?sx=showpatent_cn&amp;sf=ShowPatent&amp;spn=CN102017421B&amp;sx=showpatent_cn&amp;sv=b16f7802e0567c2d403da9b103cd528b","CN102017421B")</f>
        <v>CN102017421B</v>
      </c>
      <c r="B1359" s="9" t="s">
        <v>6947</v>
      </c>
      <c r="C1359" s="9" t="s">
        <v>6948</v>
      </c>
      <c r="D1359" s="9" t="s">
        <v>301</v>
      </c>
      <c r="E1359" s="9" t="s">
        <v>301</v>
      </c>
      <c r="F1359" s="9" t="s">
        <v>6949</v>
      </c>
      <c r="G1359" s="9" t="s">
        <v>6950</v>
      </c>
      <c r="H1359" s="9" t="s">
        <v>6951</v>
      </c>
      <c r="I1359" s="9" t="s">
        <v>1058</v>
      </c>
      <c r="J1359" s="9" t="s">
        <v>2845</v>
      </c>
      <c r="K1359" s="9" t="s">
        <v>68</v>
      </c>
      <c r="L1359" s="9" t="s">
        <v>6698</v>
      </c>
      <c r="M1359" s="9">
        <v>21</v>
      </c>
      <c r="N1359" s="9">
        <v>15</v>
      </c>
      <c r="O1359" s="9" t="s">
        <v>57</v>
      </c>
      <c r="P1359" s="9" t="s">
        <v>58</v>
      </c>
      <c r="Q1359" s="9">
        <v>3</v>
      </c>
      <c r="R1359" s="9">
        <v>0</v>
      </c>
      <c r="S1359" s="9">
        <v>3</v>
      </c>
      <c r="T1359" s="9">
        <v>3</v>
      </c>
      <c r="U1359" s="9">
        <v>0</v>
      </c>
      <c r="V1359" s="9" t="s">
        <v>114</v>
      </c>
      <c r="W1359" s="9">
        <v>0</v>
      </c>
      <c r="X1359" s="9">
        <v>0</v>
      </c>
      <c r="Y1359" s="9">
        <v>0</v>
      </c>
      <c r="Z1359" s="9">
        <v>0</v>
      </c>
      <c r="AA1359" s="9">
        <v>10</v>
      </c>
      <c r="AB1359" s="9">
        <v>7</v>
      </c>
      <c r="AC1359" s="9">
        <v>14</v>
      </c>
      <c r="AD1359" s="9" t="s">
        <v>0</v>
      </c>
      <c r="AE1359" s="9" t="s">
        <v>60</v>
      </c>
    </row>
    <row r="1360" spans="1:31" ht="38.25" x14ac:dyDescent="0.2">
      <c r="A1360" s="6" t="str">
        <f>HYPERLINK("http://www.patentics.cn/invokexml.do?sx=showpatent_cn&amp;sf=ShowPatent&amp;spn=CN101122938&amp;sx=showpatent_cn&amp;sv=5744aaa241b36e6b072ffa5c4c02535a","CN101122938")</f>
        <v>CN101122938</v>
      </c>
      <c r="B1360" s="7" t="s">
        <v>6952</v>
      </c>
      <c r="C1360" s="7" t="s">
        <v>6953</v>
      </c>
      <c r="D1360" s="7" t="s">
        <v>6954</v>
      </c>
      <c r="E1360" s="7" t="s">
        <v>6824</v>
      </c>
      <c r="F1360" s="7" t="s">
        <v>6955</v>
      </c>
      <c r="G1360" s="7" t="s">
        <v>6956</v>
      </c>
      <c r="H1360" s="7" t="s">
        <v>6957</v>
      </c>
      <c r="I1360" s="7" t="s">
        <v>6957</v>
      </c>
      <c r="J1360" s="7" t="s">
        <v>2465</v>
      </c>
      <c r="K1360" s="7" t="s">
        <v>885</v>
      </c>
      <c r="L1360" s="7" t="s">
        <v>2959</v>
      </c>
      <c r="M1360" s="7">
        <v>10</v>
      </c>
      <c r="N1360" s="7">
        <v>9</v>
      </c>
      <c r="O1360" s="7" t="s">
        <v>42</v>
      </c>
      <c r="P1360" s="7" t="s">
        <v>43</v>
      </c>
      <c r="Q1360" s="7">
        <v>0</v>
      </c>
      <c r="R1360" s="7">
        <v>0</v>
      </c>
      <c r="S1360" s="7">
        <v>0</v>
      </c>
      <c r="T1360" s="7">
        <v>0</v>
      </c>
      <c r="U1360" s="7">
        <v>6</v>
      </c>
      <c r="V1360" s="7" t="s">
        <v>6958</v>
      </c>
      <c r="W1360" s="7">
        <v>0</v>
      </c>
      <c r="X1360" s="7">
        <v>6</v>
      </c>
      <c r="Y1360" s="7">
        <v>5</v>
      </c>
      <c r="Z1360" s="7">
        <v>1</v>
      </c>
      <c r="AA1360" s="7">
        <v>1</v>
      </c>
      <c r="AB1360" s="7">
        <v>1</v>
      </c>
      <c r="AC1360" s="7" t="s">
        <v>0</v>
      </c>
      <c r="AD1360" s="7">
        <v>1</v>
      </c>
      <c r="AE1360" s="7" t="s">
        <v>60</v>
      </c>
    </row>
    <row r="1361" spans="1:31" ht="153" x14ac:dyDescent="0.2">
      <c r="A1361" s="8" t="str">
        <f>HYPERLINK("http://www.patentics.cn/invokexml.do?sx=showpatent_cn&amp;sf=ShowPatent&amp;spn=CN103491606B&amp;sx=showpatent_cn&amp;sv=43f18f78fbdb756a46ac9ab5bc600775","CN103491606B")</f>
        <v>CN103491606B</v>
      </c>
      <c r="B1361" s="9" t="s">
        <v>6959</v>
      </c>
      <c r="C1361" s="9" t="s">
        <v>6960</v>
      </c>
      <c r="D1361" s="9" t="s">
        <v>301</v>
      </c>
      <c r="E1361" s="9" t="s">
        <v>301</v>
      </c>
      <c r="F1361" s="9" t="s">
        <v>6961</v>
      </c>
      <c r="G1361" s="9" t="s">
        <v>6962</v>
      </c>
      <c r="H1361" s="9" t="s">
        <v>6963</v>
      </c>
      <c r="I1361" s="9" t="s">
        <v>425</v>
      </c>
      <c r="J1361" s="9" t="s">
        <v>4340</v>
      </c>
      <c r="K1361" s="9" t="s">
        <v>55</v>
      </c>
      <c r="L1361" s="9" t="s">
        <v>2875</v>
      </c>
      <c r="M1361" s="9">
        <v>9</v>
      </c>
      <c r="N1361" s="9">
        <v>21</v>
      </c>
      <c r="O1361" s="9" t="s">
        <v>57</v>
      </c>
      <c r="P1361" s="9" t="s">
        <v>58</v>
      </c>
      <c r="Q1361" s="9">
        <v>1</v>
      </c>
      <c r="R1361" s="9">
        <v>0</v>
      </c>
      <c r="S1361" s="9">
        <v>1</v>
      </c>
      <c r="T1361" s="9">
        <v>1</v>
      </c>
      <c r="U1361" s="9">
        <v>0</v>
      </c>
      <c r="V1361" s="9" t="s">
        <v>114</v>
      </c>
      <c r="W1361" s="9">
        <v>0</v>
      </c>
      <c r="X1361" s="9">
        <v>0</v>
      </c>
      <c r="Y1361" s="9">
        <v>0</v>
      </c>
      <c r="Z1361" s="9">
        <v>0</v>
      </c>
      <c r="AA1361" s="9">
        <v>0</v>
      </c>
      <c r="AB1361" s="9">
        <v>0</v>
      </c>
      <c r="AC1361" s="9">
        <v>14</v>
      </c>
      <c r="AD1361" s="9" t="s">
        <v>0</v>
      </c>
      <c r="AE1361" s="9" t="s">
        <v>60</v>
      </c>
    </row>
    <row r="1362" spans="1:31" ht="51" x14ac:dyDescent="0.2">
      <c r="A1362" s="6" t="str">
        <f>HYPERLINK("http://www.patentics.cn/invokexml.do?sx=showpatent_cn&amp;sf=ShowPatent&amp;spn=CN101122804&amp;sx=showpatent_cn&amp;sv=39e0d15926dc078dad8dfa38987ad0dd","CN101122804")</f>
        <v>CN101122804</v>
      </c>
      <c r="B1362" s="7" t="s">
        <v>6964</v>
      </c>
      <c r="C1362" s="7" t="s">
        <v>5660</v>
      </c>
      <c r="D1362" s="7" t="s">
        <v>6965</v>
      </c>
      <c r="E1362" s="7" t="s">
        <v>6965</v>
      </c>
      <c r="F1362" s="7" t="s">
        <v>6966</v>
      </c>
      <c r="G1362" s="7" t="s">
        <v>6967</v>
      </c>
      <c r="H1362" s="7" t="s">
        <v>6376</v>
      </c>
      <c r="I1362" s="7" t="s">
        <v>6376</v>
      </c>
      <c r="J1362" s="7" t="s">
        <v>2465</v>
      </c>
      <c r="K1362" s="7" t="s">
        <v>3117</v>
      </c>
      <c r="L1362" s="7" t="s">
        <v>6968</v>
      </c>
      <c r="M1362" s="7">
        <v>7</v>
      </c>
      <c r="N1362" s="7">
        <v>28</v>
      </c>
      <c r="O1362" s="7" t="s">
        <v>42</v>
      </c>
      <c r="P1362" s="7" t="s">
        <v>43</v>
      </c>
      <c r="Q1362" s="7">
        <v>0</v>
      </c>
      <c r="R1362" s="7">
        <v>0</v>
      </c>
      <c r="S1362" s="7">
        <v>0</v>
      </c>
      <c r="T1362" s="7">
        <v>0</v>
      </c>
      <c r="U1362" s="7">
        <v>28</v>
      </c>
      <c r="V1362" s="7" t="s">
        <v>6969</v>
      </c>
      <c r="W1362" s="7">
        <v>0</v>
      </c>
      <c r="X1362" s="7">
        <v>28</v>
      </c>
      <c r="Y1362" s="7">
        <v>15</v>
      </c>
      <c r="Z1362" s="7">
        <v>3</v>
      </c>
      <c r="AA1362" s="7">
        <v>1</v>
      </c>
      <c r="AB1362" s="7">
        <v>1</v>
      </c>
      <c r="AC1362" s="7" t="s">
        <v>0</v>
      </c>
      <c r="AD1362" s="7">
        <v>1</v>
      </c>
      <c r="AE1362" s="7" t="s">
        <v>60</v>
      </c>
    </row>
    <row r="1363" spans="1:31" ht="38.25" x14ac:dyDescent="0.2">
      <c r="A1363" s="8" t="str">
        <f>HYPERLINK("http://www.patentics.cn/invokexml.do?sx=showpatent_cn&amp;sf=ShowPatent&amp;spn=CN104756032B&amp;sx=showpatent_cn&amp;sv=4f2592e4cd27c42ed97214b92be1ecf5","CN104756032B")</f>
        <v>CN104756032B</v>
      </c>
      <c r="B1363" s="9" t="s">
        <v>5665</v>
      </c>
      <c r="C1363" s="9" t="s">
        <v>5666</v>
      </c>
      <c r="D1363" s="9" t="s">
        <v>301</v>
      </c>
      <c r="E1363" s="9" t="s">
        <v>301</v>
      </c>
      <c r="F1363" s="9" t="s">
        <v>5667</v>
      </c>
      <c r="G1363" s="9" t="s">
        <v>5668</v>
      </c>
      <c r="H1363" s="9" t="s">
        <v>5669</v>
      </c>
      <c r="I1363" s="9" t="s">
        <v>961</v>
      </c>
      <c r="J1363" s="9" t="s">
        <v>3832</v>
      </c>
      <c r="K1363" s="9" t="s">
        <v>3117</v>
      </c>
      <c r="L1363" s="9" t="s">
        <v>3129</v>
      </c>
      <c r="M1363" s="9">
        <v>11</v>
      </c>
      <c r="N1363" s="9">
        <v>30</v>
      </c>
      <c r="O1363" s="9" t="s">
        <v>57</v>
      </c>
      <c r="P1363" s="9" t="s">
        <v>58</v>
      </c>
      <c r="Q1363" s="9">
        <v>7</v>
      </c>
      <c r="R1363" s="9">
        <v>1</v>
      </c>
      <c r="S1363" s="9">
        <v>6</v>
      </c>
      <c r="T1363" s="9">
        <v>7</v>
      </c>
      <c r="U1363" s="9">
        <v>0</v>
      </c>
      <c r="V1363" s="9" t="s">
        <v>114</v>
      </c>
      <c r="W1363" s="9">
        <v>0</v>
      </c>
      <c r="X1363" s="9">
        <v>0</v>
      </c>
      <c r="Y1363" s="9">
        <v>0</v>
      </c>
      <c r="Z1363" s="9">
        <v>0</v>
      </c>
      <c r="AA1363" s="9">
        <v>6</v>
      </c>
      <c r="AB1363" s="9">
        <v>5</v>
      </c>
      <c r="AC1363" s="9">
        <v>14</v>
      </c>
      <c r="AD1363" s="9" t="s">
        <v>0</v>
      </c>
      <c r="AE1363" s="9" t="s">
        <v>60</v>
      </c>
    </row>
    <row r="1364" spans="1:31" ht="38.25" x14ac:dyDescent="0.2">
      <c r="A1364" s="6" t="str">
        <f>HYPERLINK("http://www.patentics.cn/invokexml.do?sx=showpatent_cn&amp;sf=ShowPatent&amp;spn=CN101119365&amp;sx=showpatent_cn&amp;sv=f3ee9ec6e9e379382ca4390e913076e2","CN101119365")</f>
        <v>CN101119365</v>
      </c>
      <c r="B1364" s="7" t="s">
        <v>6970</v>
      </c>
      <c r="C1364" s="7" t="s">
        <v>6971</v>
      </c>
      <c r="D1364" s="7" t="s">
        <v>524</v>
      </c>
      <c r="E1364" s="7" t="s">
        <v>524</v>
      </c>
      <c r="F1364" s="7" t="s">
        <v>6972</v>
      </c>
      <c r="G1364" s="7" t="s">
        <v>6973</v>
      </c>
      <c r="H1364" s="7" t="s">
        <v>2464</v>
      </c>
      <c r="I1364" s="7" t="s">
        <v>2464</v>
      </c>
      <c r="J1364" s="7" t="s">
        <v>2487</v>
      </c>
      <c r="K1364" s="7" t="s">
        <v>68</v>
      </c>
      <c r="L1364" s="7" t="s">
        <v>2336</v>
      </c>
      <c r="M1364" s="7">
        <v>2</v>
      </c>
      <c r="N1364" s="7">
        <v>43</v>
      </c>
      <c r="O1364" s="7" t="s">
        <v>42</v>
      </c>
      <c r="P1364" s="7" t="s">
        <v>43</v>
      </c>
      <c r="Q1364" s="7">
        <v>0</v>
      </c>
      <c r="R1364" s="7">
        <v>0</v>
      </c>
      <c r="S1364" s="7">
        <v>0</v>
      </c>
      <c r="T1364" s="7">
        <v>0</v>
      </c>
      <c r="U1364" s="7">
        <v>5</v>
      </c>
      <c r="V1364" s="7" t="s">
        <v>314</v>
      </c>
      <c r="W1364" s="7">
        <v>2</v>
      </c>
      <c r="X1364" s="7">
        <v>3</v>
      </c>
      <c r="Y1364" s="7">
        <v>3</v>
      </c>
      <c r="Z1364" s="7">
        <v>1</v>
      </c>
      <c r="AA1364" s="7">
        <v>1</v>
      </c>
      <c r="AB1364" s="7">
        <v>1</v>
      </c>
      <c r="AC1364" s="7" t="s">
        <v>0</v>
      </c>
      <c r="AD1364" s="7">
        <v>1</v>
      </c>
      <c r="AE1364" s="7" t="s">
        <v>532</v>
      </c>
    </row>
    <row r="1365" spans="1:31" ht="51" x14ac:dyDescent="0.2">
      <c r="A1365" s="8" t="str">
        <f>HYPERLINK("http://www.patentics.cn/invokexml.do?sx=showpatent_cn&amp;sf=ShowPatent&amp;spn=CN102484644B&amp;sx=showpatent_cn&amp;sv=b79cf2e7cdf5c01de90e5fb5cf29e715","CN102484644B")</f>
        <v>CN102484644B</v>
      </c>
      <c r="B1365" s="9" t="s">
        <v>6974</v>
      </c>
      <c r="C1365" s="9" t="s">
        <v>6975</v>
      </c>
      <c r="D1365" s="9" t="s">
        <v>301</v>
      </c>
      <c r="E1365" s="9" t="s">
        <v>301</v>
      </c>
      <c r="F1365" s="9" t="s">
        <v>6976</v>
      </c>
      <c r="G1365" s="9" t="s">
        <v>6977</v>
      </c>
      <c r="H1365" s="9" t="s">
        <v>6978</v>
      </c>
      <c r="I1365" s="9" t="s">
        <v>4580</v>
      </c>
      <c r="J1365" s="9" t="s">
        <v>1667</v>
      </c>
      <c r="K1365" s="9" t="s">
        <v>68</v>
      </c>
      <c r="L1365" s="9" t="s">
        <v>2336</v>
      </c>
      <c r="M1365" s="9">
        <v>52</v>
      </c>
      <c r="N1365" s="9">
        <v>23</v>
      </c>
      <c r="O1365" s="9" t="s">
        <v>57</v>
      </c>
      <c r="P1365" s="9" t="s">
        <v>58</v>
      </c>
      <c r="Q1365" s="9">
        <v>4</v>
      </c>
      <c r="R1365" s="9">
        <v>0</v>
      </c>
      <c r="S1365" s="9">
        <v>4</v>
      </c>
      <c r="T1365" s="9">
        <v>3</v>
      </c>
      <c r="U1365" s="9">
        <v>0</v>
      </c>
      <c r="V1365" s="9" t="s">
        <v>114</v>
      </c>
      <c r="W1365" s="9">
        <v>0</v>
      </c>
      <c r="X1365" s="9">
        <v>0</v>
      </c>
      <c r="Y1365" s="9">
        <v>0</v>
      </c>
      <c r="Z1365" s="9">
        <v>0</v>
      </c>
      <c r="AA1365" s="9">
        <v>0</v>
      </c>
      <c r="AB1365" s="9">
        <v>0</v>
      </c>
      <c r="AC1365" s="9">
        <v>14</v>
      </c>
      <c r="AD1365" s="9" t="s">
        <v>0</v>
      </c>
      <c r="AE1365" s="9" t="s">
        <v>60</v>
      </c>
    </row>
    <row r="1366" spans="1:31" ht="25.5" x14ac:dyDescent="0.2">
      <c r="A1366" s="6" t="str">
        <f>HYPERLINK("http://www.patentics.cn/invokexml.do?sx=showpatent_cn&amp;sf=ShowPatent&amp;spn=CN101118610&amp;sx=showpatent_cn&amp;sv=d09ac1219f1e862b157ea075186cec03","CN101118610")</f>
        <v>CN101118610</v>
      </c>
      <c r="B1366" s="7" t="s">
        <v>6979</v>
      </c>
      <c r="C1366" s="7" t="s">
        <v>6980</v>
      </c>
      <c r="D1366" s="7" t="s">
        <v>3375</v>
      </c>
      <c r="E1366" s="7" t="s">
        <v>3375</v>
      </c>
      <c r="F1366" s="7" t="s">
        <v>6981</v>
      </c>
      <c r="G1366" s="7" t="s">
        <v>6982</v>
      </c>
      <c r="H1366" s="7" t="s">
        <v>6983</v>
      </c>
      <c r="I1366" s="7" t="s">
        <v>6983</v>
      </c>
      <c r="J1366" s="7" t="s">
        <v>2487</v>
      </c>
      <c r="K1366" s="7" t="s">
        <v>869</v>
      </c>
      <c r="L1366" s="7" t="s">
        <v>5052</v>
      </c>
      <c r="M1366" s="7">
        <v>5</v>
      </c>
      <c r="N1366" s="7">
        <v>97</v>
      </c>
      <c r="O1366" s="7" t="s">
        <v>42</v>
      </c>
      <c r="P1366" s="7" t="s">
        <v>43</v>
      </c>
      <c r="Q1366" s="7">
        <v>0</v>
      </c>
      <c r="R1366" s="7">
        <v>0</v>
      </c>
      <c r="S1366" s="7">
        <v>0</v>
      </c>
      <c r="T1366" s="7">
        <v>0</v>
      </c>
      <c r="U1366" s="7">
        <v>8</v>
      </c>
      <c r="V1366" s="7" t="s">
        <v>6984</v>
      </c>
      <c r="W1366" s="7">
        <v>0</v>
      </c>
      <c r="X1366" s="7">
        <v>8</v>
      </c>
      <c r="Y1366" s="7">
        <v>5</v>
      </c>
      <c r="Z1366" s="7">
        <v>1</v>
      </c>
      <c r="AA1366" s="7">
        <v>1</v>
      </c>
      <c r="AB1366" s="7">
        <v>1</v>
      </c>
      <c r="AC1366" s="7" t="s">
        <v>0</v>
      </c>
      <c r="AD1366" s="7">
        <v>1</v>
      </c>
      <c r="AE1366" s="7" t="s">
        <v>532</v>
      </c>
    </row>
    <row r="1367" spans="1:31" ht="25.5" x14ac:dyDescent="0.2">
      <c r="A1367" s="8" t="str">
        <f>HYPERLINK("http://www.patentics.cn/invokexml.do?sx=showpatent_cn&amp;sf=ShowPatent&amp;spn=CN103620624B&amp;sx=showpatent_cn&amp;sv=0280752356efbcb6f226d58cad74cc12","CN103620624B")</f>
        <v>CN103620624B</v>
      </c>
      <c r="B1367" s="9" t="s">
        <v>6985</v>
      </c>
      <c r="C1367" s="9" t="s">
        <v>6986</v>
      </c>
      <c r="D1367" s="9" t="s">
        <v>301</v>
      </c>
      <c r="E1367" s="9" t="s">
        <v>301</v>
      </c>
      <c r="F1367" s="9" t="s">
        <v>6987</v>
      </c>
      <c r="G1367" s="9" t="s">
        <v>6987</v>
      </c>
      <c r="H1367" s="9" t="s">
        <v>6988</v>
      </c>
      <c r="I1367" s="9" t="s">
        <v>6989</v>
      </c>
      <c r="J1367" s="9" t="s">
        <v>5768</v>
      </c>
      <c r="K1367" s="9" t="s">
        <v>869</v>
      </c>
      <c r="L1367" s="9" t="s">
        <v>890</v>
      </c>
      <c r="M1367" s="9">
        <v>45</v>
      </c>
      <c r="N1367" s="9">
        <v>13</v>
      </c>
      <c r="O1367" s="9" t="s">
        <v>57</v>
      </c>
      <c r="P1367" s="9" t="s">
        <v>58</v>
      </c>
      <c r="Q1367" s="9">
        <v>4</v>
      </c>
      <c r="R1367" s="9">
        <v>0</v>
      </c>
      <c r="S1367" s="9">
        <v>4</v>
      </c>
      <c r="T1367" s="9">
        <v>3</v>
      </c>
      <c r="U1367" s="9">
        <v>0</v>
      </c>
      <c r="V1367" s="9" t="s">
        <v>114</v>
      </c>
      <c r="W1367" s="9">
        <v>0</v>
      </c>
      <c r="X1367" s="9">
        <v>0</v>
      </c>
      <c r="Y1367" s="9">
        <v>0</v>
      </c>
      <c r="Z1367" s="9">
        <v>0</v>
      </c>
      <c r="AA1367" s="9">
        <v>0</v>
      </c>
      <c r="AB1367" s="9">
        <v>0</v>
      </c>
      <c r="AC1367" s="9">
        <v>14</v>
      </c>
      <c r="AD1367" s="9" t="s">
        <v>0</v>
      </c>
      <c r="AE1367" s="9" t="s">
        <v>60</v>
      </c>
    </row>
    <row r="1368" spans="1:31" ht="51" x14ac:dyDescent="0.2">
      <c r="A1368" s="6" t="str">
        <f>HYPERLINK("http://www.patentics.cn/invokexml.do?sx=showpatent_cn&amp;sf=ShowPatent&amp;spn=CN101106713&amp;sx=showpatent_cn&amp;sv=7bb329f33eb3a844784176ac750baeda","CN101106713")</f>
        <v>CN101106713</v>
      </c>
      <c r="B1368" s="7" t="s">
        <v>6990</v>
      </c>
      <c r="C1368" s="7" t="s">
        <v>6991</v>
      </c>
      <c r="D1368" s="7" t="s">
        <v>2181</v>
      </c>
      <c r="E1368" s="7" t="s">
        <v>2181</v>
      </c>
      <c r="F1368" s="7" t="s">
        <v>6992</v>
      </c>
      <c r="G1368" s="7" t="s">
        <v>3837</v>
      </c>
      <c r="H1368" s="7" t="s">
        <v>6993</v>
      </c>
      <c r="I1368" s="7" t="s">
        <v>6993</v>
      </c>
      <c r="J1368" s="7" t="s">
        <v>6994</v>
      </c>
      <c r="K1368" s="7" t="s">
        <v>714</v>
      </c>
      <c r="L1368" s="7" t="s">
        <v>1346</v>
      </c>
      <c r="M1368" s="7">
        <v>3</v>
      </c>
      <c r="N1368" s="7">
        <v>16</v>
      </c>
      <c r="O1368" s="7" t="s">
        <v>42</v>
      </c>
      <c r="P1368" s="7" t="s">
        <v>43</v>
      </c>
      <c r="Q1368" s="7">
        <v>0</v>
      </c>
      <c r="R1368" s="7">
        <v>0</v>
      </c>
      <c r="S1368" s="7">
        <v>0</v>
      </c>
      <c r="T1368" s="7">
        <v>0</v>
      </c>
      <c r="U1368" s="7">
        <v>12</v>
      </c>
      <c r="V1368" s="7" t="s">
        <v>6995</v>
      </c>
      <c r="W1368" s="7">
        <v>0</v>
      </c>
      <c r="X1368" s="7">
        <v>12</v>
      </c>
      <c r="Y1368" s="7">
        <v>6</v>
      </c>
      <c r="Z1368" s="7">
        <v>3</v>
      </c>
      <c r="AA1368" s="7">
        <v>1</v>
      </c>
      <c r="AB1368" s="7">
        <v>1</v>
      </c>
      <c r="AC1368" s="7" t="s">
        <v>0</v>
      </c>
      <c r="AD1368" s="7">
        <v>1</v>
      </c>
      <c r="AE1368" s="7" t="s">
        <v>532</v>
      </c>
    </row>
    <row r="1369" spans="1:31" ht="76.5" x14ac:dyDescent="0.2">
      <c r="A1369" s="8" t="str">
        <f>HYPERLINK("http://www.patentics.cn/invokexml.do?sx=showpatent_cn&amp;sf=ShowPatent&amp;spn=US9167269&amp;sx=showpatent_cn&amp;sv=08ef72ede09fdc3d48a03bee03f33b84","US9167269")</f>
        <v>US9167269</v>
      </c>
      <c r="B1369" s="9" t="s">
        <v>6996</v>
      </c>
      <c r="C1369" s="9" t="s">
        <v>6997</v>
      </c>
      <c r="D1369" s="9" t="s">
        <v>48</v>
      </c>
      <c r="E1369" s="9" t="s">
        <v>49</v>
      </c>
      <c r="F1369" s="9" t="s">
        <v>6998</v>
      </c>
      <c r="G1369" s="9" t="s">
        <v>6999</v>
      </c>
      <c r="H1369" s="9" t="s">
        <v>666</v>
      </c>
      <c r="I1369" s="9" t="s">
        <v>7000</v>
      </c>
      <c r="J1369" s="9" t="s">
        <v>477</v>
      </c>
      <c r="K1369" s="9" t="s">
        <v>89</v>
      </c>
      <c r="L1369" s="9" t="s">
        <v>1739</v>
      </c>
      <c r="M1369" s="9">
        <v>34</v>
      </c>
      <c r="N1369" s="9">
        <v>18</v>
      </c>
      <c r="O1369" s="9" t="s">
        <v>57</v>
      </c>
      <c r="P1369" s="9" t="s">
        <v>58</v>
      </c>
      <c r="Q1369" s="9">
        <v>13</v>
      </c>
      <c r="R1369" s="9">
        <v>2</v>
      </c>
      <c r="S1369" s="9">
        <v>11</v>
      </c>
      <c r="T1369" s="9">
        <v>8</v>
      </c>
      <c r="U1369" s="9">
        <v>0</v>
      </c>
      <c r="V1369" s="9" t="s">
        <v>114</v>
      </c>
      <c r="W1369" s="9">
        <v>0</v>
      </c>
      <c r="X1369" s="9">
        <v>0</v>
      </c>
      <c r="Y1369" s="9">
        <v>0</v>
      </c>
      <c r="Z1369" s="9">
        <v>0</v>
      </c>
      <c r="AA1369" s="9">
        <v>11</v>
      </c>
      <c r="AB1369" s="9">
        <v>11</v>
      </c>
      <c r="AC1369" s="9">
        <v>14</v>
      </c>
      <c r="AD1369" s="9" t="s">
        <v>0</v>
      </c>
      <c r="AE1369" s="9" t="s">
        <v>60</v>
      </c>
    </row>
    <row r="1370" spans="1:31" ht="51" x14ac:dyDescent="0.2">
      <c r="A1370" s="6" t="str">
        <f>HYPERLINK("http://www.patentics.cn/invokexml.do?sx=showpatent_cn&amp;sf=ShowPatent&amp;spn=CN101102511&amp;sx=showpatent_cn&amp;sv=0f5d6eaeec291f1f4a53953db6ef3dec","CN101102511")</f>
        <v>CN101102511</v>
      </c>
      <c r="B1370" s="7" t="s">
        <v>7001</v>
      </c>
      <c r="C1370" s="7" t="s">
        <v>7002</v>
      </c>
      <c r="D1370" s="7" t="s">
        <v>1341</v>
      </c>
      <c r="E1370" s="7" t="s">
        <v>1341</v>
      </c>
      <c r="F1370" s="7" t="s">
        <v>7003</v>
      </c>
      <c r="G1370" s="7" t="s">
        <v>7004</v>
      </c>
      <c r="H1370" s="7" t="s">
        <v>6892</v>
      </c>
      <c r="I1370" s="7" t="s">
        <v>6892</v>
      </c>
      <c r="J1370" s="7" t="s">
        <v>7005</v>
      </c>
      <c r="K1370" s="7" t="s">
        <v>714</v>
      </c>
      <c r="L1370" s="7" t="s">
        <v>7006</v>
      </c>
      <c r="M1370" s="7">
        <v>5</v>
      </c>
      <c r="N1370" s="7">
        <v>21</v>
      </c>
      <c r="O1370" s="7" t="s">
        <v>42</v>
      </c>
      <c r="P1370" s="7" t="s">
        <v>43</v>
      </c>
      <c r="Q1370" s="7">
        <v>0</v>
      </c>
      <c r="R1370" s="7">
        <v>0</v>
      </c>
      <c r="S1370" s="7">
        <v>0</v>
      </c>
      <c r="T1370" s="7">
        <v>0</v>
      </c>
      <c r="U1370" s="7">
        <v>9</v>
      </c>
      <c r="V1370" s="7" t="s">
        <v>7007</v>
      </c>
      <c r="W1370" s="7">
        <v>1</v>
      </c>
      <c r="X1370" s="7">
        <v>8</v>
      </c>
      <c r="Y1370" s="7">
        <v>7</v>
      </c>
      <c r="Z1370" s="7">
        <v>3</v>
      </c>
      <c r="AA1370" s="7">
        <v>1</v>
      </c>
      <c r="AB1370" s="7">
        <v>1</v>
      </c>
      <c r="AC1370" s="7" t="s">
        <v>0</v>
      </c>
      <c r="AD1370" s="7">
        <v>1</v>
      </c>
      <c r="AE1370" s="7" t="s">
        <v>60</v>
      </c>
    </row>
    <row r="1371" spans="1:31" ht="25.5" x14ac:dyDescent="0.2">
      <c r="A1371" s="8" t="str">
        <f>HYPERLINK("http://www.patentics.cn/invokexml.do?sx=showpatent_cn&amp;sf=ShowPatent&amp;spn=CN103814575B&amp;sx=showpatent_cn&amp;sv=4c50c0f875c154c8cce8c29b0bba164b","CN103814575B")</f>
        <v>CN103814575B</v>
      </c>
      <c r="B1371" s="9" t="s">
        <v>7008</v>
      </c>
      <c r="C1371" s="9" t="s">
        <v>7009</v>
      </c>
      <c r="D1371" s="9" t="s">
        <v>301</v>
      </c>
      <c r="E1371" s="9" t="s">
        <v>301</v>
      </c>
      <c r="F1371" s="9" t="s">
        <v>7010</v>
      </c>
      <c r="G1371" s="9" t="s">
        <v>2282</v>
      </c>
      <c r="H1371" s="9" t="s">
        <v>3551</v>
      </c>
      <c r="I1371" s="9" t="s">
        <v>7011</v>
      </c>
      <c r="J1371" s="9" t="s">
        <v>1877</v>
      </c>
      <c r="K1371" s="9" t="s">
        <v>714</v>
      </c>
      <c r="L1371" s="9" t="s">
        <v>7012</v>
      </c>
      <c r="M1371" s="9">
        <v>29</v>
      </c>
      <c r="N1371" s="9">
        <v>18</v>
      </c>
      <c r="O1371" s="9" t="s">
        <v>57</v>
      </c>
      <c r="P1371" s="9" t="s">
        <v>58</v>
      </c>
      <c r="Q1371" s="9">
        <v>3</v>
      </c>
      <c r="R1371" s="9">
        <v>0</v>
      </c>
      <c r="S1371" s="9">
        <v>3</v>
      </c>
      <c r="T1371" s="9">
        <v>3</v>
      </c>
      <c r="U1371" s="9">
        <v>0</v>
      </c>
      <c r="V1371" s="9" t="s">
        <v>114</v>
      </c>
      <c r="W1371" s="9">
        <v>0</v>
      </c>
      <c r="X1371" s="9">
        <v>0</v>
      </c>
      <c r="Y1371" s="9">
        <v>0</v>
      </c>
      <c r="Z1371" s="9">
        <v>0</v>
      </c>
      <c r="AA1371" s="9">
        <v>0</v>
      </c>
      <c r="AB1371" s="9">
        <v>0</v>
      </c>
      <c r="AC1371" s="9">
        <v>14</v>
      </c>
      <c r="AD1371" s="9" t="s">
        <v>0</v>
      </c>
      <c r="AE1371" s="9" t="s">
        <v>60</v>
      </c>
    </row>
    <row r="1372" spans="1:31" ht="38.25" x14ac:dyDescent="0.2">
      <c r="A1372" s="6" t="str">
        <f>HYPERLINK("http://www.patentics.cn/invokexml.do?sx=showpatent_cn&amp;sf=ShowPatent&amp;spn=CN101094047&amp;sx=showpatent_cn&amp;sv=1f270e52058bdad36196a4952d5bee57","CN101094047")</f>
        <v>CN101094047</v>
      </c>
      <c r="B1372" s="7" t="s">
        <v>7013</v>
      </c>
      <c r="C1372" s="7" t="s">
        <v>7014</v>
      </c>
      <c r="D1372" s="7" t="s">
        <v>2548</v>
      </c>
      <c r="E1372" s="7" t="s">
        <v>2549</v>
      </c>
      <c r="F1372" s="7" t="s">
        <v>7015</v>
      </c>
      <c r="G1372" s="7" t="s">
        <v>7016</v>
      </c>
      <c r="H1372" s="7" t="s">
        <v>0</v>
      </c>
      <c r="I1372" s="7" t="s">
        <v>6686</v>
      </c>
      <c r="J1372" s="7" t="s">
        <v>6858</v>
      </c>
      <c r="K1372" s="7" t="s">
        <v>68</v>
      </c>
      <c r="L1372" s="7" t="s">
        <v>6239</v>
      </c>
      <c r="M1372" s="7">
        <v>4</v>
      </c>
      <c r="N1372" s="7">
        <v>30</v>
      </c>
      <c r="O1372" s="7" t="s">
        <v>42</v>
      </c>
      <c r="P1372" s="7" t="s">
        <v>43</v>
      </c>
      <c r="Q1372" s="7">
        <v>0</v>
      </c>
      <c r="R1372" s="7">
        <v>0</v>
      </c>
      <c r="S1372" s="7">
        <v>0</v>
      </c>
      <c r="T1372" s="7">
        <v>0</v>
      </c>
      <c r="U1372" s="7">
        <v>21</v>
      </c>
      <c r="V1372" s="7" t="s">
        <v>7017</v>
      </c>
      <c r="W1372" s="7">
        <v>0</v>
      </c>
      <c r="X1372" s="7">
        <v>21</v>
      </c>
      <c r="Y1372" s="7">
        <v>8</v>
      </c>
      <c r="Z1372" s="7">
        <v>2</v>
      </c>
      <c r="AA1372" s="7">
        <v>0</v>
      </c>
      <c r="AB1372" s="7">
        <v>0</v>
      </c>
      <c r="AC1372" s="7" t="s">
        <v>0</v>
      </c>
      <c r="AD1372" s="7">
        <v>1</v>
      </c>
      <c r="AE1372" s="7" t="s">
        <v>45</v>
      </c>
    </row>
    <row r="1373" spans="1:31" ht="25.5" x14ac:dyDescent="0.2">
      <c r="A1373" s="8" t="str">
        <f>HYPERLINK("http://www.patentics.cn/invokexml.do?sx=showpatent_cn&amp;sf=ShowPatent&amp;spn=CN103716131B&amp;sx=showpatent_cn&amp;sv=a0ad0a286c5ddd6e301ea63438995280","CN103716131B")</f>
        <v>CN103716131B</v>
      </c>
      <c r="B1373" s="9" t="s">
        <v>7018</v>
      </c>
      <c r="C1373" s="9" t="s">
        <v>7019</v>
      </c>
      <c r="D1373" s="9" t="s">
        <v>301</v>
      </c>
      <c r="E1373" s="9" t="s">
        <v>301</v>
      </c>
      <c r="F1373" s="9" t="s">
        <v>7020</v>
      </c>
      <c r="G1373" s="9" t="s">
        <v>7020</v>
      </c>
      <c r="H1373" s="9" t="s">
        <v>2397</v>
      </c>
      <c r="I1373" s="9" t="s">
        <v>7021</v>
      </c>
      <c r="J1373" s="9" t="s">
        <v>2406</v>
      </c>
      <c r="K1373" s="9" t="s">
        <v>68</v>
      </c>
      <c r="L1373" s="9" t="s">
        <v>1668</v>
      </c>
      <c r="M1373" s="9">
        <v>16</v>
      </c>
      <c r="N1373" s="9">
        <v>15</v>
      </c>
      <c r="O1373" s="9" t="s">
        <v>57</v>
      </c>
      <c r="P1373" s="9" t="s">
        <v>58</v>
      </c>
      <c r="Q1373" s="9">
        <v>4</v>
      </c>
      <c r="R1373" s="9">
        <v>0</v>
      </c>
      <c r="S1373" s="9">
        <v>4</v>
      </c>
      <c r="T1373" s="9">
        <v>4</v>
      </c>
      <c r="U1373" s="9">
        <v>0</v>
      </c>
      <c r="V1373" s="9" t="s">
        <v>114</v>
      </c>
      <c r="W1373" s="9">
        <v>0</v>
      </c>
      <c r="X1373" s="9">
        <v>0</v>
      </c>
      <c r="Y1373" s="9">
        <v>0</v>
      </c>
      <c r="Z1373" s="9">
        <v>0</v>
      </c>
      <c r="AA1373" s="9">
        <v>0</v>
      </c>
      <c r="AB1373" s="9">
        <v>0</v>
      </c>
      <c r="AC1373" s="9">
        <v>14</v>
      </c>
      <c r="AD1373" s="9" t="s">
        <v>0</v>
      </c>
      <c r="AE1373" s="9" t="s">
        <v>60</v>
      </c>
    </row>
    <row r="1374" spans="1:31" ht="63.75" x14ac:dyDescent="0.2">
      <c r="A1374" s="6" t="str">
        <f>HYPERLINK("http://www.patentics.cn/invokexml.do?sx=showpatent_cn&amp;sf=ShowPatent&amp;spn=CN101083495&amp;sx=showpatent_cn&amp;sv=7fd25b031efcbb7362be68f517e6ee54","CN101083495")</f>
        <v>CN101083495</v>
      </c>
      <c r="B1374" s="7" t="s">
        <v>7022</v>
      </c>
      <c r="C1374" s="7" t="s">
        <v>6541</v>
      </c>
      <c r="D1374" s="7" t="s">
        <v>7023</v>
      </c>
      <c r="E1374" s="7" t="s">
        <v>7024</v>
      </c>
      <c r="F1374" s="7" t="s">
        <v>7025</v>
      </c>
      <c r="G1374" s="7" t="s">
        <v>7026</v>
      </c>
      <c r="H1374" s="7" t="s">
        <v>7027</v>
      </c>
      <c r="I1374" s="7" t="s">
        <v>7028</v>
      </c>
      <c r="J1374" s="7" t="s">
        <v>926</v>
      </c>
      <c r="K1374" s="7" t="s">
        <v>89</v>
      </c>
      <c r="L1374" s="7" t="s">
        <v>1811</v>
      </c>
      <c r="M1374" s="7">
        <v>10</v>
      </c>
      <c r="N1374" s="7">
        <v>15</v>
      </c>
      <c r="O1374" s="7" t="s">
        <v>42</v>
      </c>
      <c r="P1374" s="7" t="s">
        <v>2681</v>
      </c>
      <c r="Q1374" s="7">
        <v>0</v>
      </c>
      <c r="R1374" s="7">
        <v>0</v>
      </c>
      <c r="S1374" s="7">
        <v>0</v>
      </c>
      <c r="T1374" s="7">
        <v>0</v>
      </c>
      <c r="U1374" s="7">
        <v>3</v>
      </c>
      <c r="V1374" s="7" t="s">
        <v>137</v>
      </c>
      <c r="W1374" s="7">
        <v>0</v>
      </c>
      <c r="X1374" s="7">
        <v>3</v>
      </c>
      <c r="Y1374" s="7">
        <v>2</v>
      </c>
      <c r="Z1374" s="7">
        <v>2</v>
      </c>
      <c r="AA1374" s="7">
        <v>9</v>
      </c>
      <c r="AB1374" s="7">
        <v>5</v>
      </c>
      <c r="AC1374" s="7" t="s">
        <v>0</v>
      </c>
      <c r="AD1374" s="7">
        <v>1</v>
      </c>
      <c r="AE1374" s="7" t="s">
        <v>60</v>
      </c>
    </row>
    <row r="1375" spans="1:31" ht="38.25" x14ac:dyDescent="0.2">
      <c r="A1375" s="8" t="str">
        <f>HYPERLINK("http://www.patentics.cn/invokexml.do?sx=showpatent_cn&amp;sf=ShowPatent&amp;spn=CN102474296&amp;sx=showpatent_cn&amp;sv=b0d262caf3d24e0d39a8ebe522864f65","CN102474296")</f>
        <v>CN102474296</v>
      </c>
      <c r="B1375" s="9" t="s">
        <v>7029</v>
      </c>
      <c r="C1375" s="9" t="s">
        <v>7030</v>
      </c>
      <c r="D1375" s="9" t="s">
        <v>301</v>
      </c>
      <c r="E1375" s="9" t="s">
        <v>301</v>
      </c>
      <c r="F1375" s="9" t="s">
        <v>7031</v>
      </c>
      <c r="G1375" s="9" t="s">
        <v>7032</v>
      </c>
      <c r="H1375" s="9" t="s">
        <v>7033</v>
      </c>
      <c r="I1375" s="9" t="s">
        <v>7034</v>
      </c>
      <c r="J1375" s="9" t="s">
        <v>429</v>
      </c>
      <c r="K1375" s="9" t="s">
        <v>89</v>
      </c>
      <c r="L1375" s="9" t="s">
        <v>7035</v>
      </c>
      <c r="M1375" s="9">
        <v>30</v>
      </c>
      <c r="N1375" s="9">
        <v>8</v>
      </c>
      <c r="O1375" s="9" t="s">
        <v>42</v>
      </c>
      <c r="P1375" s="9" t="s">
        <v>58</v>
      </c>
      <c r="Q1375" s="9">
        <v>10</v>
      </c>
      <c r="R1375" s="9">
        <v>0</v>
      </c>
      <c r="S1375" s="9">
        <v>10</v>
      </c>
      <c r="T1375" s="9">
        <v>9</v>
      </c>
      <c r="U1375" s="9">
        <v>0</v>
      </c>
      <c r="V1375" s="9" t="s">
        <v>114</v>
      </c>
      <c r="W1375" s="9">
        <v>0</v>
      </c>
      <c r="X1375" s="9">
        <v>0</v>
      </c>
      <c r="Y1375" s="9">
        <v>0</v>
      </c>
      <c r="Z1375" s="9">
        <v>0</v>
      </c>
      <c r="AA1375" s="9">
        <v>11</v>
      </c>
      <c r="AB1375" s="9">
        <v>7</v>
      </c>
      <c r="AC1375" s="9">
        <v>14</v>
      </c>
      <c r="AD1375" s="9" t="s">
        <v>0</v>
      </c>
      <c r="AE1375" s="9" t="s">
        <v>60</v>
      </c>
    </row>
    <row r="1376" spans="1:31" ht="38.25" x14ac:dyDescent="0.2">
      <c r="A1376" s="6" t="str">
        <f>HYPERLINK("http://www.patentics.cn/invokexml.do?sx=showpatent_cn&amp;sf=ShowPatent&amp;spn=CN101067552&amp;sx=showpatent_cn&amp;sv=4fe9ccb3c2fa7027ce5a7bb641d68354","CN101067552")</f>
        <v>CN101067552</v>
      </c>
      <c r="B1376" s="7" t="s">
        <v>7036</v>
      </c>
      <c r="C1376" s="7" t="s">
        <v>7037</v>
      </c>
      <c r="D1376" s="7" t="s">
        <v>932</v>
      </c>
      <c r="E1376" s="7" t="s">
        <v>932</v>
      </c>
      <c r="F1376" s="7" t="s">
        <v>7038</v>
      </c>
      <c r="G1376" s="7" t="s">
        <v>2533</v>
      </c>
      <c r="H1376" s="7" t="s">
        <v>7039</v>
      </c>
      <c r="I1376" s="7" t="s">
        <v>7039</v>
      </c>
      <c r="J1376" s="7" t="s">
        <v>7040</v>
      </c>
      <c r="K1376" s="7" t="s">
        <v>937</v>
      </c>
      <c r="L1376" s="7" t="s">
        <v>7041</v>
      </c>
      <c r="M1376" s="7">
        <v>7</v>
      </c>
      <c r="N1376" s="7">
        <v>20</v>
      </c>
      <c r="O1376" s="7" t="s">
        <v>42</v>
      </c>
      <c r="P1376" s="7" t="s">
        <v>43</v>
      </c>
      <c r="Q1376" s="7">
        <v>0</v>
      </c>
      <c r="R1376" s="7">
        <v>0</v>
      </c>
      <c r="S1376" s="7">
        <v>0</v>
      </c>
      <c r="T1376" s="7">
        <v>0</v>
      </c>
      <c r="U1376" s="7">
        <v>8</v>
      </c>
      <c r="V1376" s="7" t="s">
        <v>7042</v>
      </c>
      <c r="W1376" s="7">
        <v>1</v>
      </c>
      <c r="X1376" s="7">
        <v>7</v>
      </c>
      <c r="Y1376" s="7">
        <v>6</v>
      </c>
      <c r="Z1376" s="7">
        <v>1</v>
      </c>
      <c r="AA1376" s="7">
        <v>1</v>
      </c>
      <c r="AB1376" s="7">
        <v>1</v>
      </c>
      <c r="AC1376" s="7" t="s">
        <v>0</v>
      </c>
      <c r="AD1376" s="7">
        <v>1</v>
      </c>
      <c r="AE1376" s="7" t="s">
        <v>60</v>
      </c>
    </row>
    <row r="1377" spans="1:31" ht="114.75" x14ac:dyDescent="0.2">
      <c r="A1377" s="8" t="str">
        <f>HYPERLINK("http://www.patentics.cn/invokexml.do?sx=showpatent_cn&amp;sf=ShowPatent&amp;spn=CN104870936B&amp;sx=showpatent_cn&amp;sv=8538e5646208a27582d6a116f035f377","CN104870936B")</f>
        <v>CN104870936B</v>
      </c>
      <c r="B1377" s="9" t="s">
        <v>7043</v>
      </c>
      <c r="C1377" s="9" t="s">
        <v>7044</v>
      </c>
      <c r="D1377" s="9" t="s">
        <v>301</v>
      </c>
      <c r="E1377" s="9" t="s">
        <v>301</v>
      </c>
      <c r="F1377" s="9" t="s">
        <v>7045</v>
      </c>
      <c r="G1377" s="9" t="s">
        <v>7046</v>
      </c>
      <c r="H1377" s="9" t="s">
        <v>7047</v>
      </c>
      <c r="I1377" s="9" t="s">
        <v>7048</v>
      </c>
      <c r="J1377" s="9" t="s">
        <v>1877</v>
      </c>
      <c r="K1377" s="9" t="s">
        <v>937</v>
      </c>
      <c r="L1377" s="9" t="s">
        <v>7049</v>
      </c>
      <c r="M1377" s="9">
        <v>24</v>
      </c>
      <c r="N1377" s="9">
        <v>13</v>
      </c>
      <c r="O1377" s="9" t="s">
        <v>57</v>
      </c>
      <c r="P1377" s="9" t="s">
        <v>58</v>
      </c>
      <c r="Q1377" s="9">
        <v>5</v>
      </c>
      <c r="R1377" s="9">
        <v>0</v>
      </c>
      <c r="S1377" s="9">
        <v>5</v>
      </c>
      <c r="T1377" s="9">
        <v>4</v>
      </c>
      <c r="U1377" s="9">
        <v>0</v>
      </c>
      <c r="V1377" s="9" t="s">
        <v>114</v>
      </c>
      <c r="W1377" s="9">
        <v>0</v>
      </c>
      <c r="X1377" s="9">
        <v>0</v>
      </c>
      <c r="Y1377" s="9">
        <v>0</v>
      </c>
      <c r="Z1377" s="9">
        <v>0</v>
      </c>
      <c r="AA1377" s="9">
        <v>0</v>
      </c>
      <c r="AB1377" s="9">
        <v>0</v>
      </c>
      <c r="AC1377" s="9">
        <v>14</v>
      </c>
      <c r="AD1377" s="9" t="s">
        <v>0</v>
      </c>
      <c r="AE1377" s="9" t="s">
        <v>60</v>
      </c>
    </row>
    <row r="1378" spans="1:31" ht="25.5" x14ac:dyDescent="0.2">
      <c r="A1378" s="6" t="str">
        <f>HYPERLINK("http://www.patentics.cn/invokexml.do?sx=showpatent_cn&amp;sf=ShowPatent&amp;spn=CN101068175&amp;sx=showpatent_cn&amp;sv=485f451c4c1a26bf52e73913c545b777","CN101068175")</f>
        <v>CN101068175</v>
      </c>
      <c r="B1378" s="7" t="s">
        <v>7050</v>
      </c>
      <c r="C1378" s="7" t="s">
        <v>7051</v>
      </c>
      <c r="D1378" s="7" t="s">
        <v>309</v>
      </c>
      <c r="E1378" s="7" t="s">
        <v>309</v>
      </c>
      <c r="F1378" s="7" t="s">
        <v>7052</v>
      </c>
      <c r="G1378" s="7" t="s">
        <v>7053</v>
      </c>
      <c r="H1378" s="7" t="s">
        <v>7054</v>
      </c>
      <c r="I1378" s="7" t="s">
        <v>7054</v>
      </c>
      <c r="J1378" s="7" t="s">
        <v>7040</v>
      </c>
      <c r="K1378" s="7" t="s">
        <v>68</v>
      </c>
      <c r="L1378" s="7" t="s">
        <v>245</v>
      </c>
      <c r="M1378" s="7">
        <v>3</v>
      </c>
      <c r="N1378" s="7">
        <v>40</v>
      </c>
      <c r="O1378" s="7" t="s">
        <v>42</v>
      </c>
      <c r="P1378" s="7" t="s">
        <v>43</v>
      </c>
      <c r="Q1378" s="7">
        <v>0</v>
      </c>
      <c r="R1378" s="7">
        <v>0</v>
      </c>
      <c r="S1378" s="7">
        <v>0</v>
      </c>
      <c r="T1378" s="7">
        <v>0</v>
      </c>
      <c r="U1378" s="7">
        <v>5</v>
      </c>
      <c r="V1378" s="7" t="s">
        <v>7055</v>
      </c>
      <c r="W1378" s="7">
        <v>0</v>
      </c>
      <c r="X1378" s="7">
        <v>5</v>
      </c>
      <c r="Y1378" s="7">
        <v>5</v>
      </c>
      <c r="Z1378" s="7">
        <v>2</v>
      </c>
      <c r="AA1378" s="7">
        <v>1</v>
      </c>
      <c r="AB1378" s="7">
        <v>1</v>
      </c>
      <c r="AC1378" s="7" t="s">
        <v>0</v>
      </c>
      <c r="AD1378" s="7">
        <v>1</v>
      </c>
      <c r="AE1378" s="7" t="s">
        <v>60</v>
      </c>
    </row>
    <row r="1379" spans="1:31" ht="76.5" x14ac:dyDescent="0.2">
      <c r="A1379" s="8" t="str">
        <f>HYPERLINK("http://www.patentics.cn/invokexml.do?sx=showpatent_cn&amp;sf=ShowPatent&amp;spn=CN102612819B&amp;sx=showpatent_cn&amp;sv=a579db7f86dfc71e57a1f0624ba255e1","CN102612819B")</f>
        <v>CN102612819B</v>
      </c>
      <c r="B1379" s="9" t="s">
        <v>7056</v>
      </c>
      <c r="C1379" s="9" t="s">
        <v>7057</v>
      </c>
      <c r="D1379" s="9" t="s">
        <v>301</v>
      </c>
      <c r="E1379" s="9" t="s">
        <v>301</v>
      </c>
      <c r="F1379" s="9" t="s">
        <v>7058</v>
      </c>
      <c r="G1379" s="9" t="s">
        <v>3830</v>
      </c>
      <c r="H1379" s="9" t="s">
        <v>3870</v>
      </c>
      <c r="I1379" s="9" t="s">
        <v>3871</v>
      </c>
      <c r="J1379" s="9" t="s">
        <v>7059</v>
      </c>
      <c r="K1379" s="9" t="s">
        <v>68</v>
      </c>
      <c r="L1379" s="9" t="s">
        <v>6239</v>
      </c>
      <c r="M1379" s="9">
        <v>64</v>
      </c>
      <c r="N1379" s="9">
        <v>11</v>
      </c>
      <c r="O1379" s="9" t="s">
        <v>57</v>
      </c>
      <c r="P1379" s="9" t="s">
        <v>58</v>
      </c>
      <c r="Q1379" s="9">
        <v>2</v>
      </c>
      <c r="R1379" s="9">
        <v>0</v>
      </c>
      <c r="S1379" s="9">
        <v>2</v>
      </c>
      <c r="T1379" s="9">
        <v>2</v>
      </c>
      <c r="U1379" s="9">
        <v>0</v>
      </c>
      <c r="V1379" s="9" t="s">
        <v>114</v>
      </c>
      <c r="W1379" s="9">
        <v>0</v>
      </c>
      <c r="X1379" s="9">
        <v>0</v>
      </c>
      <c r="Y1379" s="9">
        <v>0</v>
      </c>
      <c r="Z1379" s="9">
        <v>0</v>
      </c>
      <c r="AA1379" s="9">
        <v>17</v>
      </c>
      <c r="AB1379" s="9">
        <v>6</v>
      </c>
      <c r="AC1379" s="9">
        <v>14</v>
      </c>
      <c r="AD1379" s="9" t="s">
        <v>0</v>
      </c>
      <c r="AE1379" s="9" t="s">
        <v>60</v>
      </c>
    </row>
    <row r="1380" spans="1:31" ht="25.5" x14ac:dyDescent="0.2">
      <c r="A1380" s="6" t="str">
        <f>HYPERLINK("http://www.patentics.cn/invokexml.do?sx=showpatent_cn&amp;sf=ShowPatent&amp;spn=CN101059957&amp;sx=showpatent_cn&amp;sv=3fc4bf44bf352a0340ba1b587e0c3efe","CN101059957")</f>
        <v>CN101059957</v>
      </c>
      <c r="B1380" s="7" t="s">
        <v>7060</v>
      </c>
      <c r="C1380" s="7" t="s">
        <v>7061</v>
      </c>
      <c r="D1380" s="7" t="s">
        <v>432</v>
      </c>
      <c r="E1380" s="7" t="s">
        <v>432</v>
      </c>
      <c r="F1380" s="7" t="s">
        <v>7062</v>
      </c>
      <c r="G1380" s="7" t="s">
        <v>7063</v>
      </c>
      <c r="H1380" s="7" t="s">
        <v>7064</v>
      </c>
      <c r="I1380" s="7" t="s">
        <v>7064</v>
      </c>
      <c r="J1380" s="7" t="s">
        <v>2574</v>
      </c>
      <c r="K1380" s="7" t="s">
        <v>1486</v>
      </c>
      <c r="L1380" s="7" t="s">
        <v>1487</v>
      </c>
      <c r="M1380" s="7">
        <v>11</v>
      </c>
      <c r="N1380" s="7">
        <v>13</v>
      </c>
      <c r="O1380" s="7" t="s">
        <v>42</v>
      </c>
      <c r="P1380" s="7" t="s">
        <v>43</v>
      </c>
      <c r="Q1380" s="7">
        <v>0</v>
      </c>
      <c r="R1380" s="7">
        <v>0</v>
      </c>
      <c r="S1380" s="7">
        <v>0</v>
      </c>
      <c r="T1380" s="7">
        <v>0</v>
      </c>
      <c r="U1380" s="7">
        <v>6</v>
      </c>
      <c r="V1380" s="7" t="s">
        <v>7065</v>
      </c>
      <c r="W1380" s="7">
        <v>0</v>
      </c>
      <c r="X1380" s="7">
        <v>6</v>
      </c>
      <c r="Y1380" s="7">
        <v>5</v>
      </c>
      <c r="Z1380" s="7">
        <v>2</v>
      </c>
      <c r="AA1380" s="7">
        <v>1</v>
      </c>
      <c r="AB1380" s="7">
        <v>1</v>
      </c>
      <c r="AC1380" s="7" t="s">
        <v>0</v>
      </c>
      <c r="AD1380" s="7">
        <v>1</v>
      </c>
      <c r="AE1380" s="7" t="s">
        <v>532</v>
      </c>
    </row>
    <row r="1381" spans="1:31" ht="25.5" x14ac:dyDescent="0.2">
      <c r="A1381" s="8" t="str">
        <f>HYPERLINK("http://www.patentics.cn/invokexml.do?sx=showpatent_cn&amp;sf=ShowPatent&amp;spn=WO2013185303&amp;sx=showpatent_cn&amp;sv=83999d6bf3f0695be1cfc60f6acf4658","WO2013185303")</f>
        <v>WO2013185303</v>
      </c>
      <c r="B1381" s="9" t="s">
        <v>7066</v>
      </c>
      <c r="C1381" s="9" t="s">
        <v>7067</v>
      </c>
      <c r="D1381" s="9" t="s">
        <v>117</v>
      </c>
      <c r="E1381" s="9" t="s">
        <v>49</v>
      </c>
      <c r="F1381" s="9" t="s">
        <v>5337</v>
      </c>
      <c r="G1381" s="9" t="s">
        <v>5337</v>
      </c>
      <c r="H1381" s="9" t="s">
        <v>0</v>
      </c>
      <c r="I1381" s="9" t="s">
        <v>3327</v>
      </c>
      <c r="J1381" s="9" t="s">
        <v>7068</v>
      </c>
      <c r="K1381" s="9" t="s">
        <v>68</v>
      </c>
      <c r="L1381" s="9" t="s">
        <v>7069</v>
      </c>
      <c r="M1381" s="9">
        <v>24</v>
      </c>
      <c r="N1381" s="9">
        <v>11</v>
      </c>
      <c r="O1381" s="9" t="s">
        <v>850</v>
      </c>
      <c r="P1381" s="9" t="s">
        <v>1932</v>
      </c>
      <c r="Q1381" s="9">
        <v>3</v>
      </c>
      <c r="R1381" s="9">
        <v>0</v>
      </c>
      <c r="S1381" s="9">
        <v>3</v>
      </c>
      <c r="T1381" s="9">
        <v>3</v>
      </c>
      <c r="U1381" s="9">
        <v>0</v>
      </c>
      <c r="V1381" s="9" t="s">
        <v>114</v>
      </c>
      <c r="W1381" s="9">
        <v>0</v>
      </c>
      <c r="X1381" s="9">
        <v>0</v>
      </c>
      <c r="Y1381" s="9">
        <v>0</v>
      </c>
      <c r="Z1381" s="9">
        <v>0</v>
      </c>
      <c r="AA1381" s="9">
        <v>0</v>
      </c>
      <c r="AB1381" s="9">
        <v>0</v>
      </c>
      <c r="AC1381" s="9">
        <v>14</v>
      </c>
      <c r="AD1381" s="9" t="s">
        <v>0</v>
      </c>
      <c r="AE1381" s="9" t="s">
        <v>0</v>
      </c>
    </row>
    <row r="1382" spans="1:31" ht="38.25" x14ac:dyDescent="0.2">
      <c r="A1382" s="6" t="str">
        <f>HYPERLINK("http://www.patentics.cn/invokexml.do?sx=showpatent_cn&amp;sf=ShowPatent&amp;spn=CN101056090&amp;sx=showpatent_cn&amp;sv=76ecabb571b5d7cbce64fafcc82e098b","CN101056090")</f>
        <v>CN101056090</v>
      </c>
      <c r="B1382" s="7" t="s">
        <v>7070</v>
      </c>
      <c r="C1382" s="7" t="s">
        <v>7071</v>
      </c>
      <c r="D1382" s="7" t="s">
        <v>1383</v>
      </c>
      <c r="E1382" s="7" t="s">
        <v>1383</v>
      </c>
      <c r="F1382" s="7" t="s">
        <v>7072</v>
      </c>
      <c r="G1382" s="7" t="s">
        <v>7073</v>
      </c>
      <c r="H1382" s="7" t="s">
        <v>4201</v>
      </c>
      <c r="I1382" s="7" t="s">
        <v>4201</v>
      </c>
      <c r="J1382" s="7" t="s">
        <v>6918</v>
      </c>
      <c r="K1382" s="7" t="s">
        <v>2390</v>
      </c>
      <c r="L1382" s="7" t="s">
        <v>7074</v>
      </c>
      <c r="M1382" s="7">
        <v>1</v>
      </c>
      <c r="N1382" s="7">
        <v>104</v>
      </c>
      <c r="O1382" s="7" t="s">
        <v>42</v>
      </c>
      <c r="P1382" s="7" t="s">
        <v>43</v>
      </c>
      <c r="Q1382" s="7">
        <v>0</v>
      </c>
      <c r="R1382" s="7">
        <v>0</v>
      </c>
      <c r="S1382" s="7">
        <v>0</v>
      </c>
      <c r="T1382" s="7">
        <v>0</v>
      </c>
      <c r="U1382" s="7">
        <v>6</v>
      </c>
      <c r="V1382" s="7" t="s">
        <v>7075</v>
      </c>
      <c r="W1382" s="7">
        <v>0</v>
      </c>
      <c r="X1382" s="7">
        <v>6</v>
      </c>
      <c r="Y1382" s="7">
        <v>5</v>
      </c>
      <c r="Z1382" s="7">
        <v>1</v>
      </c>
      <c r="AA1382" s="7">
        <v>1</v>
      </c>
      <c r="AB1382" s="7">
        <v>1</v>
      </c>
      <c r="AC1382" s="7" t="s">
        <v>0</v>
      </c>
      <c r="AD1382" s="7">
        <v>1</v>
      </c>
      <c r="AE1382" s="7" t="s">
        <v>60</v>
      </c>
    </row>
    <row r="1383" spans="1:31" ht="51" x14ac:dyDescent="0.2">
      <c r="A1383" s="8" t="str">
        <f>HYPERLINK("http://www.patentics.cn/invokexml.do?sx=showpatent_cn&amp;sf=ShowPatent&amp;spn=CN105453437B&amp;sx=showpatent_cn&amp;sv=9229e23d22d9a1bef2536bb4d9572dbf","CN105453437B")</f>
        <v>CN105453437B</v>
      </c>
      <c r="B1383" s="9" t="s">
        <v>7076</v>
      </c>
      <c r="C1383" s="9" t="s">
        <v>7077</v>
      </c>
      <c r="D1383" s="9" t="s">
        <v>301</v>
      </c>
      <c r="E1383" s="9" t="s">
        <v>301</v>
      </c>
      <c r="F1383" s="9" t="s">
        <v>7078</v>
      </c>
      <c r="G1383" s="9" t="s">
        <v>7079</v>
      </c>
      <c r="H1383" s="9" t="s">
        <v>5277</v>
      </c>
      <c r="I1383" s="9" t="s">
        <v>7080</v>
      </c>
      <c r="J1383" s="9" t="s">
        <v>1877</v>
      </c>
      <c r="K1383" s="9" t="s">
        <v>2207</v>
      </c>
      <c r="L1383" s="9" t="s">
        <v>2208</v>
      </c>
      <c r="M1383" s="9">
        <v>24</v>
      </c>
      <c r="N1383" s="9">
        <v>24</v>
      </c>
      <c r="O1383" s="9" t="s">
        <v>57</v>
      </c>
      <c r="P1383" s="9" t="s">
        <v>58</v>
      </c>
      <c r="Q1383" s="9">
        <v>5</v>
      </c>
      <c r="R1383" s="9">
        <v>2</v>
      </c>
      <c r="S1383" s="9">
        <v>3</v>
      </c>
      <c r="T1383" s="9">
        <v>4</v>
      </c>
      <c r="U1383" s="9">
        <v>0</v>
      </c>
      <c r="V1383" s="9" t="s">
        <v>114</v>
      </c>
      <c r="W1383" s="9">
        <v>0</v>
      </c>
      <c r="X1383" s="9">
        <v>0</v>
      </c>
      <c r="Y1383" s="9">
        <v>0</v>
      </c>
      <c r="Z1383" s="9">
        <v>0</v>
      </c>
      <c r="AA1383" s="9">
        <v>0</v>
      </c>
      <c r="AB1383" s="9">
        <v>0</v>
      </c>
      <c r="AC1383" s="9">
        <v>14</v>
      </c>
      <c r="AD1383" s="9" t="s">
        <v>0</v>
      </c>
      <c r="AE1383" s="9" t="s">
        <v>60</v>
      </c>
    </row>
    <row r="1384" spans="1:31" ht="38.25" x14ac:dyDescent="0.2">
      <c r="A1384" s="6" t="str">
        <f>HYPERLINK("http://www.patentics.cn/invokexml.do?sx=showpatent_cn&amp;sf=ShowPatent&amp;spn=CN101056295&amp;sx=showpatent_cn&amp;sv=95f465268b8ed3c9edaf0c95e472257a","CN101056295")</f>
        <v>CN101056295</v>
      </c>
      <c r="B1384" s="7" t="s">
        <v>7081</v>
      </c>
      <c r="C1384" s="7" t="s">
        <v>7082</v>
      </c>
      <c r="D1384" s="7" t="s">
        <v>3146</v>
      </c>
      <c r="E1384" s="7" t="s">
        <v>3146</v>
      </c>
      <c r="F1384" s="7" t="s">
        <v>7083</v>
      </c>
      <c r="G1384" s="7" t="s">
        <v>7084</v>
      </c>
      <c r="H1384" s="7" t="s">
        <v>7085</v>
      </c>
      <c r="I1384" s="7" t="s">
        <v>7085</v>
      </c>
      <c r="J1384" s="7" t="s">
        <v>6918</v>
      </c>
      <c r="K1384" s="7" t="s">
        <v>68</v>
      </c>
      <c r="L1384" s="7" t="s">
        <v>281</v>
      </c>
      <c r="M1384" s="7">
        <v>4</v>
      </c>
      <c r="N1384" s="7">
        <v>44</v>
      </c>
      <c r="O1384" s="7" t="s">
        <v>42</v>
      </c>
      <c r="P1384" s="7" t="s">
        <v>43</v>
      </c>
      <c r="Q1384" s="7">
        <v>0</v>
      </c>
      <c r="R1384" s="7">
        <v>0</v>
      </c>
      <c r="S1384" s="7">
        <v>0</v>
      </c>
      <c r="T1384" s="7">
        <v>0</v>
      </c>
      <c r="U1384" s="7">
        <v>4</v>
      </c>
      <c r="V1384" s="7" t="s">
        <v>7086</v>
      </c>
      <c r="W1384" s="7">
        <v>0</v>
      </c>
      <c r="X1384" s="7">
        <v>4</v>
      </c>
      <c r="Y1384" s="7">
        <v>3</v>
      </c>
      <c r="Z1384" s="7">
        <v>2</v>
      </c>
      <c r="AA1384" s="7">
        <v>1</v>
      </c>
      <c r="AB1384" s="7">
        <v>1</v>
      </c>
      <c r="AC1384" s="7" t="s">
        <v>0</v>
      </c>
      <c r="AD1384" s="7">
        <v>1</v>
      </c>
      <c r="AE1384" s="7" t="s">
        <v>532</v>
      </c>
    </row>
    <row r="1385" spans="1:31" ht="38.25" x14ac:dyDescent="0.2">
      <c r="A1385" s="8" t="str">
        <f>HYPERLINK("http://www.patentics.cn/invokexml.do?sx=showpatent_cn&amp;sf=ShowPatent&amp;spn=CN101926141B&amp;sx=showpatent_cn&amp;sv=83bf0cdd5cb5d40029e81b4c26faa4d1","CN101926141B")</f>
        <v>CN101926141B</v>
      </c>
      <c r="B1385" s="9" t="s">
        <v>7087</v>
      </c>
      <c r="C1385" s="9" t="s">
        <v>7088</v>
      </c>
      <c r="D1385" s="9" t="s">
        <v>301</v>
      </c>
      <c r="E1385" s="9" t="s">
        <v>301</v>
      </c>
      <c r="F1385" s="9" t="s">
        <v>7089</v>
      </c>
      <c r="G1385" s="9" t="s">
        <v>2109</v>
      </c>
      <c r="H1385" s="9" t="s">
        <v>4144</v>
      </c>
      <c r="I1385" s="9" t="s">
        <v>2617</v>
      </c>
      <c r="J1385" s="9" t="s">
        <v>6697</v>
      </c>
      <c r="K1385" s="9" t="s">
        <v>68</v>
      </c>
      <c r="L1385" s="9" t="s">
        <v>281</v>
      </c>
      <c r="M1385" s="9">
        <v>8</v>
      </c>
      <c r="N1385" s="9">
        <v>20</v>
      </c>
      <c r="O1385" s="9" t="s">
        <v>57</v>
      </c>
      <c r="P1385" s="9" t="s">
        <v>58</v>
      </c>
      <c r="Q1385" s="9">
        <v>3</v>
      </c>
      <c r="R1385" s="9">
        <v>0</v>
      </c>
      <c r="S1385" s="9">
        <v>3</v>
      </c>
      <c r="T1385" s="9">
        <v>3</v>
      </c>
      <c r="U1385" s="9">
        <v>0</v>
      </c>
      <c r="V1385" s="9" t="s">
        <v>114</v>
      </c>
      <c r="W1385" s="9">
        <v>0</v>
      </c>
      <c r="X1385" s="9">
        <v>0</v>
      </c>
      <c r="Y1385" s="9">
        <v>0</v>
      </c>
      <c r="Z1385" s="9">
        <v>0</v>
      </c>
      <c r="AA1385" s="9">
        <v>17</v>
      </c>
      <c r="AB1385" s="9">
        <v>9</v>
      </c>
      <c r="AC1385" s="9">
        <v>14</v>
      </c>
      <c r="AD1385" s="9" t="s">
        <v>0</v>
      </c>
      <c r="AE1385" s="9" t="s">
        <v>60</v>
      </c>
    </row>
    <row r="1386" spans="1:31" ht="63.75" x14ac:dyDescent="0.2">
      <c r="A1386" s="6" t="str">
        <f>HYPERLINK("http://www.patentics.cn/invokexml.do?sx=showpatent_cn&amp;sf=ShowPatent&amp;spn=CN101039290&amp;sx=showpatent_cn&amp;sv=461114cd285b5e4ff191dd49f4b6e18b","CN101039290")</f>
        <v>CN101039290</v>
      </c>
      <c r="B1386" s="7" t="s">
        <v>7090</v>
      </c>
      <c r="C1386" s="7" t="s">
        <v>7091</v>
      </c>
      <c r="D1386" s="7" t="s">
        <v>1420</v>
      </c>
      <c r="E1386" s="7" t="s">
        <v>1420</v>
      </c>
      <c r="F1386" s="7" t="s">
        <v>7092</v>
      </c>
      <c r="G1386" s="7" t="s">
        <v>6576</v>
      </c>
      <c r="H1386" s="7" t="s">
        <v>7093</v>
      </c>
      <c r="I1386" s="7" t="s">
        <v>7093</v>
      </c>
      <c r="J1386" s="7" t="s">
        <v>4352</v>
      </c>
      <c r="K1386" s="7" t="s">
        <v>68</v>
      </c>
      <c r="L1386" s="7" t="s">
        <v>218</v>
      </c>
      <c r="M1386" s="7">
        <v>2</v>
      </c>
      <c r="N1386" s="7">
        <v>72</v>
      </c>
      <c r="O1386" s="7" t="s">
        <v>42</v>
      </c>
      <c r="P1386" s="7" t="s">
        <v>43</v>
      </c>
      <c r="Q1386" s="7">
        <v>0</v>
      </c>
      <c r="R1386" s="7">
        <v>0</v>
      </c>
      <c r="S1386" s="7">
        <v>0</v>
      </c>
      <c r="T1386" s="7">
        <v>0</v>
      </c>
      <c r="U1386" s="7">
        <v>6</v>
      </c>
      <c r="V1386" s="7" t="s">
        <v>7094</v>
      </c>
      <c r="W1386" s="7">
        <v>1</v>
      </c>
      <c r="X1386" s="7">
        <v>5</v>
      </c>
      <c r="Y1386" s="7">
        <v>5</v>
      </c>
      <c r="Z1386" s="7">
        <v>2</v>
      </c>
      <c r="AA1386" s="7">
        <v>1</v>
      </c>
      <c r="AB1386" s="7">
        <v>1</v>
      </c>
      <c r="AC1386" s="7" t="s">
        <v>0</v>
      </c>
      <c r="AD1386" s="7">
        <v>1</v>
      </c>
      <c r="AE1386" s="7" t="s">
        <v>60</v>
      </c>
    </row>
    <row r="1387" spans="1:31" ht="114.75" x14ac:dyDescent="0.2">
      <c r="A1387" s="8" t="str">
        <f>HYPERLINK("http://www.patentics.cn/invokexml.do?sx=showpatent_cn&amp;sf=ShowPatent&amp;spn=US9191923&amp;sx=showpatent_cn&amp;sv=986e3130a72f566267dedbd8703f8322","US9191923")</f>
        <v>US9191923</v>
      </c>
      <c r="B1387" s="9" t="s">
        <v>7095</v>
      </c>
      <c r="C1387" s="9" t="s">
        <v>7096</v>
      </c>
      <c r="D1387" s="9" t="s">
        <v>48</v>
      </c>
      <c r="E1387" s="9" t="s">
        <v>49</v>
      </c>
      <c r="F1387" s="9" t="s">
        <v>7097</v>
      </c>
      <c r="G1387" s="9" t="s">
        <v>2073</v>
      </c>
      <c r="H1387" s="9" t="s">
        <v>6677</v>
      </c>
      <c r="I1387" s="9" t="s">
        <v>1463</v>
      </c>
      <c r="J1387" s="9" t="s">
        <v>588</v>
      </c>
      <c r="K1387" s="9" t="s">
        <v>55</v>
      </c>
      <c r="L1387" s="9" t="s">
        <v>56</v>
      </c>
      <c r="M1387" s="9">
        <v>88</v>
      </c>
      <c r="N1387" s="9">
        <v>13</v>
      </c>
      <c r="O1387" s="9" t="s">
        <v>57</v>
      </c>
      <c r="P1387" s="9" t="s">
        <v>58</v>
      </c>
      <c r="Q1387" s="9">
        <v>41</v>
      </c>
      <c r="R1387" s="9">
        <v>2</v>
      </c>
      <c r="S1387" s="9">
        <v>39</v>
      </c>
      <c r="T1387" s="9">
        <v>19</v>
      </c>
      <c r="U1387" s="9">
        <v>0</v>
      </c>
      <c r="V1387" s="9" t="s">
        <v>114</v>
      </c>
      <c r="W1387" s="9">
        <v>0</v>
      </c>
      <c r="X1387" s="9">
        <v>0</v>
      </c>
      <c r="Y1387" s="9">
        <v>0</v>
      </c>
      <c r="Z1387" s="9">
        <v>0</v>
      </c>
      <c r="AA1387" s="9">
        <v>11</v>
      </c>
      <c r="AB1387" s="9">
        <v>6</v>
      </c>
      <c r="AC1387" s="9">
        <v>14</v>
      </c>
      <c r="AD1387" s="9" t="s">
        <v>0</v>
      </c>
      <c r="AE1387" s="9" t="s">
        <v>60</v>
      </c>
    </row>
    <row r="1388" spans="1:31" ht="38.25" x14ac:dyDescent="0.2">
      <c r="A1388" s="6" t="str">
        <f>HYPERLINK("http://www.patentics.cn/invokexml.do?sx=showpatent_cn&amp;sf=ShowPatent&amp;spn=CN101035283&amp;sx=showpatent_cn&amp;sv=8ab96f1b7d006f80ad2e56c1dfaf355e","CN101035283")</f>
        <v>CN101035283</v>
      </c>
      <c r="B1388" s="7" t="s">
        <v>7098</v>
      </c>
      <c r="C1388" s="7" t="s">
        <v>7099</v>
      </c>
      <c r="D1388" s="7" t="s">
        <v>2115</v>
      </c>
      <c r="E1388" s="7" t="s">
        <v>2115</v>
      </c>
      <c r="F1388" s="7" t="s">
        <v>7100</v>
      </c>
      <c r="G1388" s="7" t="s">
        <v>7101</v>
      </c>
      <c r="H1388" s="7" t="s">
        <v>4315</v>
      </c>
      <c r="I1388" s="7" t="s">
        <v>4315</v>
      </c>
      <c r="J1388" s="7" t="s">
        <v>2611</v>
      </c>
      <c r="K1388" s="7" t="s">
        <v>714</v>
      </c>
      <c r="L1388" s="7" t="s">
        <v>1346</v>
      </c>
      <c r="M1388" s="7">
        <v>5</v>
      </c>
      <c r="N1388" s="7">
        <v>30</v>
      </c>
      <c r="O1388" s="7" t="s">
        <v>42</v>
      </c>
      <c r="P1388" s="7" t="s">
        <v>43</v>
      </c>
      <c r="Q1388" s="7">
        <v>0</v>
      </c>
      <c r="R1388" s="7">
        <v>0</v>
      </c>
      <c r="S1388" s="7">
        <v>0</v>
      </c>
      <c r="T1388" s="7">
        <v>0</v>
      </c>
      <c r="U1388" s="7">
        <v>5</v>
      </c>
      <c r="V1388" s="7" t="s">
        <v>7102</v>
      </c>
      <c r="W1388" s="7">
        <v>0</v>
      </c>
      <c r="X1388" s="7">
        <v>5</v>
      </c>
      <c r="Y1388" s="7">
        <v>3</v>
      </c>
      <c r="Z1388" s="7">
        <v>1</v>
      </c>
      <c r="AA1388" s="7">
        <v>1</v>
      </c>
      <c r="AB1388" s="7">
        <v>1</v>
      </c>
      <c r="AC1388" s="7" t="s">
        <v>0</v>
      </c>
      <c r="AD1388" s="7">
        <v>1</v>
      </c>
      <c r="AE1388" s="7" t="s">
        <v>532</v>
      </c>
    </row>
    <row r="1389" spans="1:31" ht="38.25" x14ac:dyDescent="0.2">
      <c r="A1389" s="8" t="str">
        <f>HYPERLINK("http://www.patentics.cn/invokexml.do?sx=showpatent_cn&amp;sf=ShowPatent&amp;spn=CN102017630B&amp;sx=showpatent_cn&amp;sv=9461cd864e7f29283c1c8ab6355d0c0a","CN102017630B")</f>
        <v>CN102017630B</v>
      </c>
      <c r="B1389" s="9" t="s">
        <v>7103</v>
      </c>
      <c r="C1389" s="9" t="s">
        <v>7104</v>
      </c>
      <c r="D1389" s="9" t="s">
        <v>301</v>
      </c>
      <c r="E1389" s="9" t="s">
        <v>301</v>
      </c>
      <c r="F1389" s="9" t="s">
        <v>2890</v>
      </c>
      <c r="G1389" s="9" t="s">
        <v>2891</v>
      </c>
      <c r="H1389" s="9" t="s">
        <v>7105</v>
      </c>
      <c r="I1389" s="9" t="s">
        <v>7106</v>
      </c>
      <c r="J1389" s="9" t="s">
        <v>7107</v>
      </c>
      <c r="K1389" s="9" t="s">
        <v>714</v>
      </c>
      <c r="L1389" s="9" t="s">
        <v>1346</v>
      </c>
      <c r="M1389" s="9">
        <v>42</v>
      </c>
      <c r="N1389" s="9">
        <v>10</v>
      </c>
      <c r="O1389" s="9" t="s">
        <v>57</v>
      </c>
      <c r="P1389" s="9" t="s">
        <v>58</v>
      </c>
      <c r="Q1389" s="9">
        <v>3</v>
      </c>
      <c r="R1389" s="9">
        <v>0</v>
      </c>
      <c r="S1389" s="9">
        <v>3</v>
      </c>
      <c r="T1389" s="9">
        <v>3</v>
      </c>
      <c r="U1389" s="9">
        <v>0</v>
      </c>
      <c r="V1389" s="9" t="s">
        <v>114</v>
      </c>
      <c r="W1389" s="9">
        <v>0</v>
      </c>
      <c r="X1389" s="9">
        <v>0</v>
      </c>
      <c r="Y1389" s="9">
        <v>0</v>
      </c>
      <c r="Z1389" s="9">
        <v>0</v>
      </c>
      <c r="AA1389" s="9">
        <v>117</v>
      </c>
      <c r="AB1389" s="9">
        <v>9</v>
      </c>
      <c r="AC1389" s="9">
        <v>14</v>
      </c>
      <c r="AD1389" s="9" t="s">
        <v>0</v>
      </c>
      <c r="AE1389" s="9" t="s">
        <v>60</v>
      </c>
    </row>
    <row r="1390" spans="1:31" ht="25.5" x14ac:dyDescent="0.2">
      <c r="A1390" s="6" t="str">
        <f>HYPERLINK("http://www.patentics.cn/invokexml.do?sx=showpatent_cn&amp;sf=ShowPatent&amp;spn=CN101030298&amp;sx=showpatent_cn&amp;sv=e140585f763e3050d1b118b0aa0d5b18","CN101030298")</f>
        <v>CN101030298</v>
      </c>
      <c r="B1390" s="7" t="s">
        <v>7108</v>
      </c>
      <c r="C1390" s="7" t="s">
        <v>7109</v>
      </c>
      <c r="D1390" s="7" t="s">
        <v>4264</v>
      </c>
      <c r="E1390" s="7" t="s">
        <v>4264</v>
      </c>
      <c r="F1390" s="7" t="s">
        <v>7110</v>
      </c>
      <c r="G1390" s="7" t="s">
        <v>7111</v>
      </c>
      <c r="H1390" s="7" t="s">
        <v>7112</v>
      </c>
      <c r="I1390" s="7" t="s">
        <v>7112</v>
      </c>
      <c r="J1390" s="7" t="s">
        <v>1577</v>
      </c>
      <c r="K1390" s="7" t="s">
        <v>2163</v>
      </c>
      <c r="L1390" s="7" t="s">
        <v>3239</v>
      </c>
      <c r="M1390" s="7">
        <v>1</v>
      </c>
      <c r="N1390" s="7">
        <v>55</v>
      </c>
      <c r="O1390" s="7" t="s">
        <v>42</v>
      </c>
      <c r="P1390" s="7" t="s">
        <v>43</v>
      </c>
      <c r="Q1390" s="7">
        <v>0</v>
      </c>
      <c r="R1390" s="7">
        <v>0</v>
      </c>
      <c r="S1390" s="7">
        <v>0</v>
      </c>
      <c r="T1390" s="7">
        <v>0</v>
      </c>
      <c r="U1390" s="7">
        <v>15</v>
      </c>
      <c r="V1390" s="7" t="s">
        <v>7113</v>
      </c>
      <c r="W1390" s="7">
        <v>0</v>
      </c>
      <c r="X1390" s="7">
        <v>15</v>
      </c>
      <c r="Y1390" s="7">
        <v>12</v>
      </c>
      <c r="Z1390" s="7">
        <v>2</v>
      </c>
      <c r="AA1390" s="7">
        <v>1</v>
      </c>
      <c r="AB1390" s="7">
        <v>1</v>
      </c>
      <c r="AC1390" s="7" t="s">
        <v>0</v>
      </c>
      <c r="AD1390" s="7">
        <v>1</v>
      </c>
      <c r="AE1390" s="7" t="s">
        <v>532</v>
      </c>
    </row>
    <row r="1391" spans="1:31" ht="89.25" x14ac:dyDescent="0.2">
      <c r="A1391" s="8" t="str">
        <f>HYPERLINK("http://www.patentics.cn/invokexml.do?sx=showpatent_cn&amp;sf=ShowPatent&amp;spn=CN104620570B&amp;sx=showpatent_cn&amp;sv=67d2827ca8619aeb4f9de27ed334467a","CN104620570B")</f>
        <v>CN104620570B</v>
      </c>
      <c r="B1391" s="9" t="s">
        <v>7114</v>
      </c>
      <c r="C1391" s="9" t="s">
        <v>7115</v>
      </c>
      <c r="D1391" s="9" t="s">
        <v>301</v>
      </c>
      <c r="E1391" s="9" t="s">
        <v>301</v>
      </c>
      <c r="F1391" s="9" t="s">
        <v>7116</v>
      </c>
      <c r="G1391" s="9" t="s">
        <v>7117</v>
      </c>
      <c r="H1391" s="9" t="s">
        <v>2384</v>
      </c>
      <c r="I1391" s="9" t="s">
        <v>7118</v>
      </c>
      <c r="J1391" s="9" t="s">
        <v>6679</v>
      </c>
      <c r="K1391" s="9" t="s">
        <v>714</v>
      </c>
      <c r="L1391" s="9" t="s">
        <v>7119</v>
      </c>
      <c r="M1391" s="9">
        <v>18</v>
      </c>
      <c r="N1391" s="9">
        <v>16</v>
      </c>
      <c r="O1391" s="9" t="s">
        <v>57</v>
      </c>
      <c r="P1391" s="9" t="s">
        <v>58</v>
      </c>
      <c r="Q1391" s="9">
        <v>4</v>
      </c>
      <c r="R1391" s="9">
        <v>0</v>
      </c>
      <c r="S1391" s="9">
        <v>4</v>
      </c>
      <c r="T1391" s="9">
        <v>4</v>
      </c>
      <c r="U1391" s="9">
        <v>0</v>
      </c>
      <c r="V1391" s="9" t="s">
        <v>114</v>
      </c>
      <c r="W1391" s="9">
        <v>0</v>
      </c>
      <c r="X1391" s="9">
        <v>0</v>
      </c>
      <c r="Y1391" s="9">
        <v>0</v>
      </c>
      <c r="Z1391" s="9">
        <v>0</v>
      </c>
      <c r="AA1391" s="9">
        <v>0</v>
      </c>
      <c r="AB1391" s="9">
        <v>0</v>
      </c>
      <c r="AC1391" s="9">
        <v>14</v>
      </c>
      <c r="AD1391" s="9" t="s">
        <v>0</v>
      </c>
      <c r="AE1391" s="9" t="s">
        <v>60</v>
      </c>
    </row>
    <row r="1392" spans="1:31" ht="51" x14ac:dyDescent="0.2">
      <c r="A1392" s="6" t="str">
        <f>HYPERLINK("http://www.patentics.cn/invokexml.do?sx=showpatent_cn&amp;sf=ShowPatent&amp;spn=CN101022280&amp;sx=showpatent_cn&amp;sv=0452ce116c2eb4a2c7159f0e7c70f2be","CN101022280")</f>
        <v>CN101022280</v>
      </c>
      <c r="B1392" s="7" t="s">
        <v>7120</v>
      </c>
      <c r="C1392" s="7" t="s">
        <v>7121</v>
      </c>
      <c r="D1392" s="7" t="s">
        <v>1383</v>
      </c>
      <c r="E1392" s="7" t="s">
        <v>1383</v>
      </c>
      <c r="F1392" s="7" t="s">
        <v>7122</v>
      </c>
      <c r="G1392" s="7" t="s">
        <v>7123</v>
      </c>
      <c r="H1392" s="7" t="s">
        <v>2656</v>
      </c>
      <c r="I1392" s="7" t="s">
        <v>2656</v>
      </c>
      <c r="J1392" s="7" t="s">
        <v>2996</v>
      </c>
      <c r="K1392" s="7" t="s">
        <v>89</v>
      </c>
      <c r="L1392" s="7" t="s">
        <v>2680</v>
      </c>
      <c r="M1392" s="7">
        <v>5</v>
      </c>
      <c r="N1392" s="7">
        <v>142</v>
      </c>
      <c r="O1392" s="7" t="s">
        <v>42</v>
      </c>
      <c r="P1392" s="7" t="s">
        <v>43</v>
      </c>
      <c r="Q1392" s="7">
        <v>0</v>
      </c>
      <c r="R1392" s="7">
        <v>0</v>
      </c>
      <c r="S1392" s="7">
        <v>0</v>
      </c>
      <c r="T1392" s="7">
        <v>0</v>
      </c>
      <c r="U1392" s="7">
        <v>25</v>
      </c>
      <c r="V1392" s="7" t="s">
        <v>7124</v>
      </c>
      <c r="W1392" s="7">
        <v>0</v>
      </c>
      <c r="X1392" s="7">
        <v>25</v>
      </c>
      <c r="Y1392" s="7">
        <v>18</v>
      </c>
      <c r="Z1392" s="7">
        <v>3</v>
      </c>
      <c r="AA1392" s="7">
        <v>1</v>
      </c>
      <c r="AB1392" s="7">
        <v>1</v>
      </c>
      <c r="AC1392" s="7" t="s">
        <v>0</v>
      </c>
      <c r="AD1392" s="7">
        <v>1</v>
      </c>
      <c r="AE1392" s="7" t="s">
        <v>532</v>
      </c>
    </row>
    <row r="1393" spans="1:31" x14ac:dyDescent="0.2">
      <c r="A1393" s="8" t="str">
        <f>HYPERLINK("http://www.patentics.cn/invokexml.do?sx=showpatent_cn&amp;sf=ShowPatent&amp;spn=CN104137334B&amp;sx=showpatent_cn&amp;sv=eede2dd3c04d5043de00328d4c96537b","CN104137334B")</f>
        <v>CN104137334B</v>
      </c>
      <c r="B1393" s="9" t="s">
        <v>7125</v>
      </c>
      <c r="C1393" s="9" t="s">
        <v>7126</v>
      </c>
      <c r="D1393" s="9" t="s">
        <v>301</v>
      </c>
      <c r="E1393" s="9" t="s">
        <v>301</v>
      </c>
      <c r="F1393" s="9" t="s">
        <v>7127</v>
      </c>
      <c r="G1393" s="9" t="s">
        <v>7127</v>
      </c>
      <c r="H1393" s="9" t="s">
        <v>6064</v>
      </c>
      <c r="I1393" s="9" t="s">
        <v>1234</v>
      </c>
      <c r="J1393" s="9" t="s">
        <v>5685</v>
      </c>
      <c r="K1393" s="9" t="s">
        <v>1037</v>
      </c>
      <c r="L1393" s="9" t="s">
        <v>7128</v>
      </c>
      <c r="M1393" s="9">
        <v>24</v>
      </c>
      <c r="N1393" s="9">
        <v>12</v>
      </c>
      <c r="O1393" s="9" t="s">
        <v>57</v>
      </c>
      <c r="P1393" s="9" t="s">
        <v>58</v>
      </c>
      <c r="Q1393" s="9">
        <v>5</v>
      </c>
      <c r="R1393" s="9">
        <v>0</v>
      </c>
      <c r="S1393" s="9">
        <v>5</v>
      </c>
      <c r="T1393" s="9">
        <v>5</v>
      </c>
      <c r="U1393" s="9">
        <v>0</v>
      </c>
      <c r="V1393" s="9" t="s">
        <v>114</v>
      </c>
      <c r="W1393" s="9">
        <v>0</v>
      </c>
      <c r="X1393" s="9">
        <v>0</v>
      </c>
      <c r="Y1393" s="9">
        <v>0</v>
      </c>
      <c r="Z1393" s="9">
        <v>0</v>
      </c>
      <c r="AA1393" s="9">
        <v>0</v>
      </c>
      <c r="AB1393" s="9">
        <v>0</v>
      </c>
      <c r="AC1393" s="9">
        <v>14</v>
      </c>
      <c r="AD1393" s="9" t="s">
        <v>0</v>
      </c>
      <c r="AE1393" s="9" t="s">
        <v>60</v>
      </c>
    </row>
    <row r="1394" spans="1:31" ht="51" x14ac:dyDescent="0.2">
      <c r="A1394" s="6" t="str">
        <f>HYPERLINK("http://www.patentics.cn/invokexml.do?sx=showpatent_cn&amp;sf=ShowPatent&amp;spn=CN101018286&amp;sx=showpatent_cn&amp;sv=b52ba7a3f9498c035e82a9f5cc3ec3e0","CN101018286")</f>
        <v>CN101018286</v>
      </c>
      <c r="B1394" s="7" t="s">
        <v>7129</v>
      </c>
      <c r="C1394" s="7" t="s">
        <v>7130</v>
      </c>
      <c r="D1394" s="7" t="s">
        <v>3184</v>
      </c>
      <c r="E1394" s="7" t="s">
        <v>3184</v>
      </c>
      <c r="F1394" s="7" t="s">
        <v>7131</v>
      </c>
      <c r="G1394" s="7" t="s">
        <v>7132</v>
      </c>
      <c r="H1394" s="7" t="s">
        <v>7133</v>
      </c>
      <c r="I1394" s="7" t="s">
        <v>7133</v>
      </c>
      <c r="J1394" s="7" t="s">
        <v>7134</v>
      </c>
      <c r="K1394" s="7" t="s">
        <v>714</v>
      </c>
      <c r="L1394" s="7" t="s">
        <v>4111</v>
      </c>
      <c r="M1394" s="7">
        <v>10</v>
      </c>
      <c r="N1394" s="7">
        <v>22</v>
      </c>
      <c r="O1394" s="7" t="s">
        <v>42</v>
      </c>
      <c r="P1394" s="7" t="s">
        <v>43</v>
      </c>
      <c r="Q1394" s="7">
        <v>0</v>
      </c>
      <c r="R1394" s="7">
        <v>0</v>
      </c>
      <c r="S1394" s="7">
        <v>0</v>
      </c>
      <c r="T1394" s="7">
        <v>0</v>
      </c>
      <c r="U1394" s="7">
        <v>7</v>
      </c>
      <c r="V1394" s="7" t="s">
        <v>7135</v>
      </c>
      <c r="W1394" s="7">
        <v>0</v>
      </c>
      <c r="X1394" s="7">
        <v>7</v>
      </c>
      <c r="Y1394" s="7">
        <v>5</v>
      </c>
      <c r="Z1394" s="7">
        <v>1</v>
      </c>
      <c r="AA1394" s="7">
        <v>1</v>
      </c>
      <c r="AB1394" s="7">
        <v>1</v>
      </c>
      <c r="AC1394" s="7" t="s">
        <v>0</v>
      </c>
      <c r="AD1394" s="7">
        <v>1</v>
      </c>
      <c r="AE1394" s="7" t="s">
        <v>532</v>
      </c>
    </row>
    <row r="1395" spans="1:31" ht="38.25" x14ac:dyDescent="0.2">
      <c r="A1395" s="8" t="str">
        <f>HYPERLINK("http://www.patentics.cn/invokexml.do?sx=showpatent_cn&amp;sf=ShowPatent&amp;spn=CN101953167B&amp;sx=showpatent_cn&amp;sv=053ecc836073a68b98541ee1e78ea516","CN101953167B")</f>
        <v>CN101953167B</v>
      </c>
      <c r="B1395" s="9" t="s">
        <v>7136</v>
      </c>
      <c r="C1395" s="9" t="s">
        <v>7137</v>
      </c>
      <c r="D1395" s="9" t="s">
        <v>301</v>
      </c>
      <c r="E1395" s="9" t="s">
        <v>301</v>
      </c>
      <c r="F1395" s="9" t="s">
        <v>7138</v>
      </c>
      <c r="G1395" s="9" t="s">
        <v>7139</v>
      </c>
      <c r="H1395" s="9" t="s">
        <v>7140</v>
      </c>
      <c r="I1395" s="9" t="s">
        <v>4495</v>
      </c>
      <c r="J1395" s="9" t="s">
        <v>7141</v>
      </c>
      <c r="K1395" s="9" t="s">
        <v>714</v>
      </c>
      <c r="L1395" s="9" t="s">
        <v>7142</v>
      </c>
      <c r="M1395" s="9">
        <v>27</v>
      </c>
      <c r="N1395" s="9">
        <v>17</v>
      </c>
      <c r="O1395" s="9" t="s">
        <v>57</v>
      </c>
      <c r="P1395" s="9" t="s">
        <v>58</v>
      </c>
      <c r="Q1395" s="9">
        <v>14</v>
      </c>
      <c r="R1395" s="9">
        <v>0</v>
      </c>
      <c r="S1395" s="9">
        <v>14</v>
      </c>
      <c r="T1395" s="9">
        <v>8</v>
      </c>
      <c r="U1395" s="9">
        <v>0</v>
      </c>
      <c r="V1395" s="9" t="s">
        <v>114</v>
      </c>
      <c r="W1395" s="9">
        <v>0</v>
      </c>
      <c r="X1395" s="9">
        <v>0</v>
      </c>
      <c r="Y1395" s="9">
        <v>0</v>
      </c>
      <c r="Z1395" s="9">
        <v>0</v>
      </c>
      <c r="AA1395" s="9">
        <v>8</v>
      </c>
      <c r="AB1395" s="9">
        <v>6</v>
      </c>
      <c r="AC1395" s="9">
        <v>14</v>
      </c>
      <c r="AD1395" s="9" t="s">
        <v>0</v>
      </c>
      <c r="AE1395" s="9" t="s">
        <v>60</v>
      </c>
    </row>
    <row r="1396" spans="1:31" ht="76.5" x14ac:dyDescent="0.2">
      <c r="A1396" s="6" t="str">
        <f>HYPERLINK("http://www.patentics.cn/invokexml.do?sx=showpatent_cn&amp;sf=ShowPatent&amp;spn=CN101013332&amp;sx=showpatent_cn&amp;sv=147ddde09f0429abe712314e16ad0f3a","CN101013332")</f>
        <v>CN101013332</v>
      </c>
      <c r="B1396" s="7" t="s">
        <v>7143</v>
      </c>
      <c r="C1396" s="7" t="s">
        <v>7144</v>
      </c>
      <c r="D1396" s="7" t="s">
        <v>432</v>
      </c>
      <c r="E1396" s="7" t="s">
        <v>432</v>
      </c>
      <c r="F1396" s="7" t="s">
        <v>7145</v>
      </c>
      <c r="G1396" s="7" t="s">
        <v>7146</v>
      </c>
      <c r="H1396" s="7" t="s">
        <v>7147</v>
      </c>
      <c r="I1396" s="7" t="s">
        <v>7147</v>
      </c>
      <c r="J1396" s="7" t="s">
        <v>1977</v>
      </c>
      <c r="K1396" s="7" t="s">
        <v>3117</v>
      </c>
      <c r="L1396" s="7" t="s">
        <v>7148</v>
      </c>
      <c r="M1396" s="7">
        <v>3</v>
      </c>
      <c r="N1396" s="7">
        <v>24</v>
      </c>
      <c r="O1396" s="7" t="s">
        <v>42</v>
      </c>
      <c r="P1396" s="7" t="s">
        <v>43</v>
      </c>
      <c r="Q1396" s="7">
        <v>0</v>
      </c>
      <c r="R1396" s="7">
        <v>0</v>
      </c>
      <c r="S1396" s="7">
        <v>0</v>
      </c>
      <c r="T1396" s="7">
        <v>0</v>
      </c>
      <c r="U1396" s="7">
        <v>10</v>
      </c>
      <c r="V1396" s="7" t="s">
        <v>7149</v>
      </c>
      <c r="W1396" s="7">
        <v>0</v>
      </c>
      <c r="X1396" s="7">
        <v>10</v>
      </c>
      <c r="Y1396" s="7">
        <v>7</v>
      </c>
      <c r="Z1396" s="7">
        <v>2</v>
      </c>
      <c r="AA1396" s="7">
        <v>1</v>
      </c>
      <c r="AB1396" s="7">
        <v>1</v>
      </c>
      <c r="AC1396" s="7" t="s">
        <v>0</v>
      </c>
      <c r="AD1396" s="7">
        <v>1</v>
      </c>
      <c r="AE1396" s="7" t="s">
        <v>532</v>
      </c>
    </row>
    <row r="1397" spans="1:31" ht="38.25" x14ac:dyDescent="0.2">
      <c r="A1397" s="8" t="str">
        <f>HYPERLINK("http://www.patentics.cn/invokexml.do?sx=showpatent_cn&amp;sf=ShowPatent&amp;spn=US8786355&amp;sx=showpatent_cn&amp;sv=9153f0ba8ec07dfe3af92531b89b793b","US8786355")</f>
        <v>US8786355</v>
      </c>
      <c r="B1397" s="9" t="s">
        <v>7150</v>
      </c>
      <c r="C1397" s="9" t="s">
        <v>7151</v>
      </c>
      <c r="D1397" s="9" t="s">
        <v>48</v>
      </c>
      <c r="E1397" s="9" t="s">
        <v>49</v>
      </c>
      <c r="F1397" s="9" t="s">
        <v>7152</v>
      </c>
      <c r="G1397" s="9" t="s">
        <v>7153</v>
      </c>
      <c r="H1397" s="9" t="s">
        <v>7154</v>
      </c>
      <c r="I1397" s="9" t="s">
        <v>7154</v>
      </c>
      <c r="J1397" s="9" t="s">
        <v>141</v>
      </c>
      <c r="K1397" s="9" t="s">
        <v>773</v>
      </c>
      <c r="L1397" s="9" t="s">
        <v>7155</v>
      </c>
      <c r="M1397" s="9">
        <v>21</v>
      </c>
      <c r="N1397" s="9">
        <v>21</v>
      </c>
      <c r="O1397" s="9" t="s">
        <v>57</v>
      </c>
      <c r="P1397" s="9" t="s">
        <v>58</v>
      </c>
      <c r="Q1397" s="9">
        <v>37</v>
      </c>
      <c r="R1397" s="9">
        <v>2</v>
      </c>
      <c r="S1397" s="9">
        <v>35</v>
      </c>
      <c r="T1397" s="9">
        <v>26</v>
      </c>
      <c r="U1397" s="9">
        <v>1</v>
      </c>
      <c r="V1397" s="9" t="s">
        <v>515</v>
      </c>
      <c r="W1397" s="9">
        <v>0</v>
      </c>
      <c r="X1397" s="9">
        <v>1</v>
      </c>
      <c r="Y1397" s="9">
        <v>1</v>
      </c>
      <c r="Z1397" s="9">
        <v>1</v>
      </c>
      <c r="AA1397" s="9">
        <v>3</v>
      </c>
      <c r="AB1397" s="9">
        <v>2</v>
      </c>
      <c r="AC1397" s="9">
        <v>14</v>
      </c>
      <c r="AD1397" s="9" t="s">
        <v>0</v>
      </c>
      <c r="AE1397" s="9" t="s">
        <v>60</v>
      </c>
    </row>
    <row r="1398" spans="1:31" ht="25.5" x14ac:dyDescent="0.2">
      <c r="A1398" s="6" t="str">
        <f>HYPERLINK("http://www.patentics.cn/invokexml.do?sx=showpatent_cn&amp;sf=ShowPatent&amp;spn=CN101010960&amp;sx=showpatent_cn&amp;sv=5c1a959dff6f556934a56ddd666ee8e4","CN101010960")</f>
        <v>CN101010960</v>
      </c>
      <c r="B1398" s="7" t="s">
        <v>7156</v>
      </c>
      <c r="C1398" s="7" t="s">
        <v>7157</v>
      </c>
      <c r="D1398" s="7" t="s">
        <v>7158</v>
      </c>
      <c r="E1398" s="7" t="s">
        <v>7159</v>
      </c>
      <c r="F1398" s="7" t="s">
        <v>7160</v>
      </c>
      <c r="G1398" s="7" t="s">
        <v>7161</v>
      </c>
      <c r="H1398" s="7" t="s">
        <v>7162</v>
      </c>
      <c r="I1398" s="7" t="s">
        <v>7163</v>
      </c>
      <c r="J1398" s="7" t="s">
        <v>6509</v>
      </c>
      <c r="K1398" s="7" t="s">
        <v>714</v>
      </c>
      <c r="L1398" s="7" t="s">
        <v>1643</v>
      </c>
      <c r="M1398" s="7">
        <v>18</v>
      </c>
      <c r="N1398" s="7">
        <v>29</v>
      </c>
      <c r="O1398" s="7" t="s">
        <v>42</v>
      </c>
      <c r="P1398" s="7" t="s">
        <v>341</v>
      </c>
      <c r="Q1398" s="7">
        <v>0</v>
      </c>
      <c r="R1398" s="7">
        <v>0</v>
      </c>
      <c r="S1398" s="7">
        <v>0</v>
      </c>
      <c r="T1398" s="7">
        <v>0</v>
      </c>
      <c r="U1398" s="7">
        <v>2</v>
      </c>
      <c r="V1398" s="7" t="s">
        <v>7164</v>
      </c>
      <c r="W1398" s="7">
        <v>0</v>
      </c>
      <c r="X1398" s="7">
        <v>2</v>
      </c>
      <c r="Y1398" s="7">
        <v>2</v>
      </c>
      <c r="Z1398" s="7">
        <v>1</v>
      </c>
      <c r="AA1398" s="7">
        <v>14</v>
      </c>
      <c r="AB1398" s="7">
        <v>8</v>
      </c>
      <c r="AC1398" s="7" t="s">
        <v>0</v>
      </c>
      <c r="AD1398" s="7">
        <v>1</v>
      </c>
      <c r="AE1398" s="7" t="s">
        <v>60</v>
      </c>
    </row>
    <row r="1399" spans="1:31" ht="51" x14ac:dyDescent="0.2">
      <c r="A1399" s="8" t="str">
        <f>HYPERLINK("http://www.patentics.cn/invokexml.do?sx=showpatent_cn&amp;sf=ShowPatent&amp;spn=CN103843347B&amp;sx=showpatent_cn&amp;sv=19a97a6f8f2256589d50edc821ea8351","CN103843347B")</f>
        <v>CN103843347B</v>
      </c>
      <c r="B1399" s="9" t="s">
        <v>7165</v>
      </c>
      <c r="C1399" s="9" t="s">
        <v>7166</v>
      </c>
      <c r="D1399" s="9" t="s">
        <v>301</v>
      </c>
      <c r="E1399" s="9" t="s">
        <v>301</v>
      </c>
      <c r="F1399" s="9" t="s">
        <v>7167</v>
      </c>
      <c r="G1399" s="9" t="s">
        <v>7168</v>
      </c>
      <c r="H1399" s="9" t="s">
        <v>4174</v>
      </c>
      <c r="I1399" s="9" t="s">
        <v>501</v>
      </c>
      <c r="J1399" s="9" t="s">
        <v>7169</v>
      </c>
      <c r="K1399" s="9" t="s">
        <v>714</v>
      </c>
      <c r="L1399" s="9" t="s">
        <v>7170</v>
      </c>
      <c r="M1399" s="9">
        <v>15</v>
      </c>
      <c r="N1399" s="9">
        <v>25</v>
      </c>
      <c r="O1399" s="9" t="s">
        <v>57</v>
      </c>
      <c r="P1399" s="9" t="s">
        <v>58</v>
      </c>
      <c r="Q1399" s="9">
        <v>5</v>
      </c>
      <c r="R1399" s="9">
        <v>0</v>
      </c>
      <c r="S1399" s="9">
        <v>5</v>
      </c>
      <c r="T1399" s="9">
        <v>5</v>
      </c>
      <c r="U1399" s="9">
        <v>0</v>
      </c>
      <c r="V1399" s="9" t="s">
        <v>114</v>
      </c>
      <c r="W1399" s="9">
        <v>0</v>
      </c>
      <c r="X1399" s="9">
        <v>0</v>
      </c>
      <c r="Y1399" s="9">
        <v>0</v>
      </c>
      <c r="Z1399" s="9">
        <v>0</v>
      </c>
      <c r="AA1399" s="9">
        <v>0</v>
      </c>
      <c r="AB1399" s="9">
        <v>0</v>
      </c>
      <c r="AC1399" s="9">
        <v>14</v>
      </c>
      <c r="AD1399" s="9" t="s">
        <v>0</v>
      </c>
      <c r="AE1399" s="9" t="s">
        <v>60</v>
      </c>
    </row>
    <row r="1400" spans="1:31" ht="51" x14ac:dyDescent="0.2">
      <c r="A1400" s="6" t="str">
        <f>HYPERLINK("http://www.patentics.cn/invokexml.do?sx=showpatent_cn&amp;sf=ShowPatent&amp;spn=CN101000244&amp;sx=showpatent_cn&amp;sv=cd22419b7bcea6fb4e5966107c5cfd18","CN101000244")</f>
        <v>CN101000244</v>
      </c>
      <c r="B1400" s="7" t="s">
        <v>7171</v>
      </c>
      <c r="C1400" s="7" t="s">
        <v>7172</v>
      </c>
      <c r="D1400" s="7" t="s">
        <v>932</v>
      </c>
      <c r="E1400" s="7" t="s">
        <v>932</v>
      </c>
      <c r="F1400" s="7" t="s">
        <v>7173</v>
      </c>
      <c r="G1400" s="7" t="s">
        <v>1190</v>
      </c>
      <c r="H1400" s="7" t="s">
        <v>7174</v>
      </c>
      <c r="I1400" s="7" t="s">
        <v>7174</v>
      </c>
      <c r="J1400" s="7" t="s">
        <v>2635</v>
      </c>
      <c r="K1400" s="7" t="s">
        <v>937</v>
      </c>
      <c r="L1400" s="7" t="s">
        <v>938</v>
      </c>
      <c r="M1400" s="7">
        <v>7</v>
      </c>
      <c r="N1400" s="7">
        <v>11</v>
      </c>
      <c r="O1400" s="7" t="s">
        <v>42</v>
      </c>
      <c r="P1400" s="7" t="s">
        <v>43</v>
      </c>
      <c r="Q1400" s="7">
        <v>0</v>
      </c>
      <c r="R1400" s="7">
        <v>0</v>
      </c>
      <c r="S1400" s="7">
        <v>0</v>
      </c>
      <c r="T1400" s="7">
        <v>0</v>
      </c>
      <c r="U1400" s="7">
        <v>37</v>
      </c>
      <c r="V1400" s="7" t="s">
        <v>7175</v>
      </c>
      <c r="W1400" s="7">
        <v>5</v>
      </c>
      <c r="X1400" s="7">
        <v>32</v>
      </c>
      <c r="Y1400" s="7">
        <v>16</v>
      </c>
      <c r="Z1400" s="7">
        <v>2</v>
      </c>
      <c r="AA1400" s="7">
        <v>1</v>
      </c>
      <c r="AB1400" s="7">
        <v>1</v>
      </c>
      <c r="AC1400" s="7" t="s">
        <v>0</v>
      </c>
      <c r="AD1400" s="7">
        <v>1</v>
      </c>
      <c r="AE1400" s="7" t="s">
        <v>60</v>
      </c>
    </row>
    <row r="1401" spans="1:31" x14ac:dyDescent="0.2">
      <c r="A1401" s="8" t="str">
        <f>HYPERLINK("http://www.patentics.cn/invokexml.do?sx=showpatent_cn&amp;sf=ShowPatent&amp;spn=CN102027385B&amp;sx=showpatent_cn&amp;sv=07d371c7c1b6529e044f89721e2c6582","CN102027385B")</f>
        <v>CN102027385B</v>
      </c>
      <c r="B1401" s="9" t="s">
        <v>7176</v>
      </c>
      <c r="C1401" s="9" t="s">
        <v>7177</v>
      </c>
      <c r="D1401" s="9" t="s">
        <v>301</v>
      </c>
      <c r="E1401" s="9" t="s">
        <v>301</v>
      </c>
      <c r="F1401" s="9" t="s">
        <v>7178</v>
      </c>
      <c r="G1401" s="9" t="s">
        <v>7178</v>
      </c>
      <c r="H1401" s="9" t="s">
        <v>7179</v>
      </c>
      <c r="I1401" s="9" t="s">
        <v>7180</v>
      </c>
      <c r="J1401" s="9" t="s">
        <v>2919</v>
      </c>
      <c r="K1401" s="9" t="s">
        <v>1142</v>
      </c>
      <c r="L1401" s="9" t="s">
        <v>7181</v>
      </c>
      <c r="M1401" s="9">
        <v>44</v>
      </c>
      <c r="N1401" s="9">
        <v>14</v>
      </c>
      <c r="O1401" s="9" t="s">
        <v>57</v>
      </c>
      <c r="P1401" s="9" t="s">
        <v>58</v>
      </c>
      <c r="Q1401" s="9">
        <v>3</v>
      </c>
      <c r="R1401" s="9">
        <v>0</v>
      </c>
      <c r="S1401" s="9">
        <v>3</v>
      </c>
      <c r="T1401" s="9">
        <v>3</v>
      </c>
      <c r="U1401" s="9">
        <v>0</v>
      </c>
      <c r="V1401" s="9" t="s">
        <v>114</v>
      </c>
      <c r="W1401" s="9">
        <v>0</v>
      </c>
      <c r="X1401" s="9">
        <v>0</v>
      </c>
      <c r="Y1401" s="9">
        <v>0</v>
      </c>
      <c r="Z1401" s="9">
        <v>0</v>
      </c>
      <c r="AA1401" s="9">
        <v>12</v>
      </c>
      <c r="AB1401" s="9">
        <v>7</v>
      </c>
      <c r="AC1401" s="9">
        <v>14</v>
      </c>
      <c r="AD1401" s="9" t="s">
        <v>0</v>
      </c>
      <c r="AE1401" s="9" t="s">
        <v>60</v>
      </c>
    </row>
    <row r="1402" spans="1:31" ht="25.5" x14ac:dyDescent="0.2">
      <c r="A1402" s="6" t="str">
        <f>HYPERLINK("http://www.patentics.cn/invokexml.do?sx=showpatent_cn&amp;sf=ShowPatent&amp;spn=CN101001078&amp;sx=showpatent_cn&amp;sv=a810e27017a22d1d7acdc28bfe86df4e","CN101001078")</f>
        <v>CN101001078</v>
      </c>
      <c r="B1402" s="7" t="s">
        <v>7182</v>
      </c>
      <c r="C1402" s="7" t="s">
        <v>7183</v>
      </c>
      <c r="D1402" s="7" t="s">
        <v>1383</v>
      </c>
      <c r="E1402" s="7" t="s">
        <v>1383</v>
      </c>
      <c r="F1402" s="7" t="s">
        <v>7184</v>
      </c>
      <c r="G1402" s="7" t="s">
        <v>7185</v>
      </c>
      <c r="H1402" s="7" t="s">
        <v>7186</v>
      </c>
      <c r="I1402" s="7" t="s">
        <v>7186</v>
      </c>
      <c r="J1402" s="7" t="s">
        <v>2635</v>
      </c>
      <c r="K1402" s="7" t="s">
        <v>1993</v>
      </c>
      <c r="L1402" s="7" t="s">
        <v>7187</v>
      </c>
      <c r="M1402" s="7">
        <v>1</v>
      </c>
      <c r="N1402" s="7">
        <v>53</v>
      </c>
      <c r="O1402" s="7" t="s">
        <v>42</v>
      </c>
      <c r="P1402" s="7" t="s">
        <v>43</v>
      </c>
      <c r="Q1402" s="7">
        <v>0</v>
      </c>
      <c r="R1402" s="7">
        <v>0</v>
      </c>
      <c r="S1402" s="7">
        <v>0</v>
      </c>
      <c r="T1402" s="7">
        <v>0</v>
      </c>
      <c r="U1402" s="7">
        <v>8</v>
      </c>
      <c r="V1402" s="7" t="s">
        <v>1301</v>
      </c>
      <c r="W1402" s="7">
        <v>0</v>
      </c>
      <c r="X1402" s="7">
        <v>8</v>
      </c>
      <c r="Y1402" s="7">
        <v>5</v>
      </c>
      <c r="Z1402" s="7">
        <v>1</v>
      </c>
      <c r="AA1402" s="7">
        <v>1</v>
      </c>
      <c r="AB1402" s="7">
        <v>1</v>
      </c>
      <c r="AC1402" s="7" t="s">
        <v>0</v>
      </c>
      <c r="AD1402" s="7">
        <v>1</v>
      </c>
      <c r="AE1402" s="7" t="s">
        <v>532</v>
      </c>
    </row>
    <row r="1403" spans="1:31" ht="38.25" x14ac:dyDescent="0.2">
      <c r="A1403" s="8" t="str">
        <f>HYPERLINK("http://www.patentics.cn/invokexml.do?sx=showpatent_cn&amp;sf=ShowPatent&amp;spn=CN105340174B&amp;sx=showpatent_cn&amp;sv=494fe2532dec3add377996d7b8831861","CN105340174B")</f>
        <v>CN105340174B</v>
      </c>
      <c r="B1403" s="9" t="s">
        <v>7188</v>
      </c>
      <c r="C1403" s="9" t="s">
        <v>7189</v>
      </c>
      <c r="D1403" s="9" t="s">
        <v>301</v>
      </c>
      <c r="E1403" s="9" t="s">
        <v>301</v>
      </c>
      <c r="F1403" s="9" t="s">
        <v>7190</v>
      </c>
      <c r="G1403" s="9" t="s">
        <v>7191</v>
      </c>
      <c r="H1403" s="9" t="s">
        <v>7192</v>
      </c>
      <c r="I1403" s="9" t="s">
        <v>7193</v>
      </c>
      <c r="J1403" s="9" t="s">
        <v>1498</v>
      </c>
      <c r="K1403" s="9" t="s">
        <v>1993</v>
      </c>
      <c r="L1403" s="9" t="s">
        <v>7194</v>
      </c>
      <c r="M1403" s="9">
        <v>17</v>
      </c>
      <c r="N1403" s="9">
        <v>14</v>
      </c>
      <c r="O1403" s="9" t="s">
        <v>57</v>
      </c>
      <c r="P1403" s="9" t="s">
        <v>58</v>
      </c>
      <c r="Q1403" s="9">
        <v>4</v>
      </c>
      <c r="R1403" s="9">
        <v>0</v>
      </c>
      <c r="S1403" s="9">
        <v>4</v>
      </c>
      <c r="T1403" s="9">
        <v>4</v>
      </c>
      <c r="U1403" s="9">
        <v>0</v>
      </c>
      <c r="V1403" s="9" t="s">
        <v>114</v>
      </c>
      <c r="W1403" s="9">
        <v>0</v>
      </c>
      <c r="X1403" s="9">
        <v>0</v>
      </c>
      <c r="Y1403" s="9">
        <v>0</v>
      </c>
      <c r="Z1403" s="9">
        <v>0</v>
      </c>
      <c r="AA1403" s="9">
        <v>0</v>
      </c>
      <c r="AB1403" s="9">
        <v>0</v>
      </c>
      <c r="AC1403" s="9">
        <v>14</v>
      </c>
      <c r="AD1403" s="9" t="s">
        <v>0</v>
      </c>
      <c r="AE1403" s="9" t="s">
        <v>60</v>
      </c>
    </row>
    <row r="1404" spans="1:31" ht="25.5" x14ac:dyDescent="0.2">
      <c r="A1404" s="6" t="str">
        <f>HYPERLINK("http://www.patentics.cn/invokexml.do?sx=showpatent_cn&amp;sf=ShowPatent&amp;spn=CN101001235&amp;sx=showpatent_cn&amp;sv=2e1739c5e194bf121e8b0f4554f361e8","CN101001235")</f>
        <v>CN101001235</v>
      </c>
      <c r="B1404" s="7" t="s">
        <v>7195</v>
      </c>
      <c r="C1404" s="7" t="s">
        <v>7196</v>
      </c>
      <c r="D1404" s="7" t="s">
        <v>7197</v>
      </c>
      <c r="E1404" s="7" t="s">
        <v>35</v>
      </c>
      <c r="F1404" s="7" t="s">
        <v>7198</v>
      </c>
      <c r="G1404" s="7" t="s">
        <v>7198</v>
      </c>
      <c r="H1404" s="7" t="s">
        <v>0</v>
      </c>
      <c r="I1404" s="7" t="s">
        <v>4250</v>
      </c>
      <c r="J1404" s="7" t="s">
        <v>2635</v>
      </c>
      <c r="K1404" s="7" t="s">
        <v>68</v>
      </c>
      <c r="L1404" s="7" t="s">
        <v>281</v>
      </c>
      <c r="M1404" s="7">
        <v>4</v>
      </c>
      <c r="N1404" s="7">
        <v>61</v>
      </c>
      <c r="O1404" s="7" t="s">
        <v>42</v>
      </c>
      <c r="P1404" s="7" t="s">
        <v>43</v>
      </c>
      <c r="Q1404" s="7">
        <v>0</v>
      </c>
      <c r="R1404" s="7">
        <v>0</v>
      </c>
      <c r="S1404" s="7">
        <v>0</v>
      </c>
      <c r="T1404" s="7">
        <v>0</v>
      </c>
      <c r="U1404" s="7">
        <v>11</v>
      </c>
      <c r="V1404" s="7" t="s">
        <v>7199</v>
      </c>
      <c r="W1404" s="7">
        <v>0</v>
      </c>
      <c r="X1404" s="7">
        <v>11</v>
      </c>
      <c r="Y1404" s="7">
        <v>6</v>
      </c>
      <c r="Z1404" s="7">
        <v>2</v>
      </c>
      <c r="AA1404" s="7">
        <v>0</v>
      </c>
      <c r="AB1404" s="7">
        <v>0</v>
      </c>
      <c r="AC1404" s="7" t="s">
        <v>0</v>
      </c>
      <c r="AD1404" s="7">
        <v>1</v>
      </c>
      <c r="AE1404" s="7" t="s">
        <v>45</v>
      </c>
    </row>
    <row r="1405" spans="1:31" ht="38.25" x14ac:dyDescent="0.2">
      <c r="A1405" s="8" t="str">
        <f>HYPERLINK("http://www.patentics.cn/invokexml.do?sx=showpatent_cn&amp;sf=ShowPatent&amp;spn=CN101926141B&amp;sx=showpatent_cn&amp;sv=83bf0cdd5cb5d40029e81b4c26faa4d1","CN101926141B")</f>
        <v>CN101926141B</v>
      </c>
      <c r="B1405" s="9" t="s">
        <v>7087</v>
      </c>
      <c r="C1405" s="9" t="s">
        <v>7088</v>
      </c>
      <c r="D1405" s="9" t="s">
        <v>301</v>
      </c>
      <c r="E1405" s="9" t="s">
        <v>301</v>
      </c>
      <c r="F1405" s="9" t="s">
        <v>7089</v>
      </c>
      <c r="G1405" s="9" t="s">
        <v>2109</v>
      </c>
      <c r="H1405" s="9" t="s">
        <v>4144</v>
      </c>
      <c r="I1405" s="9" t="s">
        <v>2617</v>
      </c>
      <c r="J1405" s="9" t="s">
        <v>6697</v>
      </c>
      <c r="K1405" s="9" t="s">
        <v>68</v>
      </c>
      <c r="L1405" s="9" t="s">
        <v>281</v>
      </c>
      <c r="M1405" s="9">
        <v>8</v>
      </c>
      <c r="N1405" s="9">
        <v>20</v>
      </c>
      <c r="O1405" s="9" t="s">
        <v>57</v>
      </c>
      <c r="P1405" s="9" t="s">
        <v>58</v>
      </c>
      <c r="Q1405" s="9">
        <v>3</v>
      </c>
      <c r="R1405" s="9">
        <v>0</v>
      </c>
      <c r="S1405" s="9">
        <v>3</v>
      </c>
      <c r="T1405" s="9">
        <v>3</v>
      </c>
      <c r="U1405" s="9">
        <v>0</v>
      </c>
      <c r="V1405" s="9" t="s">
        <v>114</v>
      </c>
      <c r="W1405" s="9">
        <v>0</v>
      </c>
      <c r="X1405" s="9">
        <v>0</v>
      </c>
      <c r="Y1405" s="9">
        <v>0</v>
      </c>
      <c r="Z1405" s="9">
        <v>0</v>
      </c>
      <c r="AA1405" s="9">
        <v>17</v>
      </c>
      <c r="AB1405" s="9">
        <v>9</v>
      </c>
      <c r="AC1405" s="9">
        <v>14</v>
      </c>
      <c r="AD1405" s="9" t="s">
        <v>0</v>
      </c>
      <c r="AE1405" s="9" t="s">
        <v>60</v>
      </c>
    </row>
    <row r="1406" spans="1:31" ht="76.5" x14ac:dyDescent="0.2">
      <c r="A1406" s="6" t="str">
        <f>HYPERLINK("http://www.patentics.cn/invokexml.do?sx=showpatent_cn&amp;sf=ShowPatent&amp;spn=CN1997947&amp;sx=showpatent_cn&amp;sv=11ae1e8cc06f5f5c1ea8bba62f38d561","CN1997947")</f>
        <v>CN1997947</v>
      </c>
      <c r="B1406" s="7" t="s">
        <v>7200</v>
      </c>
      <c r="C1406" s="7" t="s">
        <v>7201</v>
      </c>
      <c r="D1406" s="7" t="s">
        <v>7202</v>
      </c>
      <c r="E1406" s="7" t="s">
        <v>7203</v>
      </c>
      <c r="F1406" s="7" t="s">
        <v>7204</v>
      </c>
      <c r="G1406" s="7" t="s">
        <v>7205</v>
      </c>
      <c r="H1406" s="7" t="s">
        <v>7206</v>
      </c>
      <c r="I1406" s="7" t="s">
        <v>4457</v>
      </c>
      <c r="J1406" s="7" t="s">
        <v>528</v>
      </c>
      <c r="K1406" s="7" t="s">
        <v>3617</v>
      </c>
      <c r="L1406" s="7" t="s">
        <v>7207</v>
      </c>
      <c r="M1406" s="7">
        <v>11</v>
      </c>
      <c r="N1406" s="7">
        <v>27</v>
      </c>
      <c r="O1406" s="7" t="s">
        <v>42</v>
      </c>
      <c r="P1406" s="7" t="s">
        <v>2681</v>
      </c>
      <c r="Q1406" s="7">
        <v>0</v>
      </c>
      <c r="R1406" s="7">
        <v>0</v>
      </c>
      <c r="S1406" s="7">
        <v>0</v>
      </c>
      <c r="T1406" s="7">
        <v>0</v>
      </c>
      <c r="U1406" s="7">
        <v>2</v>
      </c>
      <c r="V1406" s="7" t="s">
        <v>7208</v>
      </c>
      <c r="W1406" s="7">
        <v>0</v>
      </c>
      <c r="X1406" s="7">
        <v>2</v>
      </c>
      <c r="Y1406" s="7">
        <v>2</v>
      </c>
      <c r="Z1406" s="7">
        <v>1</v>
      </c>
      <c r="AA1406" s="7">
        <v>10</v>
      </c>
      <c r="AB1406" s="7">
        <v>7</v>
      </c>
      <c r="AC1406" s="7" t="s">
        <v>0</v>
      </c>
      <c r="AD1406" s="7">
        <v>1</v>
      </c>
      <c r="AE1406" s="7" t="s">
        <v>60</v>
      </c>
    </row>
    <row r="1407" spans="1:31" x14ac:dyDescent="0.2">
      <c r="A1407" s="8" t="str">
        <f>HYPERLINK("http://www.patentics.cn/invokexml.do?sx=showpatent_cn&amp;sf=ShowPatent&amp;spn=CN103997211B&amp;sx=showpatent_cn&amp;sv=a09798319ad22863f4f36995e4eb788e","CN103997211B")</f>
        <v>CN103997211B</v>
      </c>
      <c r="B1407" s="9" t="s">
        <v>7209</v>
      </c>
      <c r="C1407" s="9" t="s">
        <v>7210</v>
      </c>
      <c r="D1407" s="9" t="s">
        <v>301</v>
      </c>
      <c r="E1407" s="9" t="s">
        <v>301</v>
      </c>
      <c r="F1407" s="9" t="s">
        <v>7211</v>
      </c>
      <c r="G1407" s="9" t="s">
        <v>7211</v>
      </c>
      <c r="H1407" s="9" t="s">
        <v>1784</v>
      </c>
      <c r="I1407" s="9" t="s">
        <v>4508</v>
      </c>
      <c r="J1407" s="9" t="s">
        <v>5829</v>
      </c>
      <c r="K1407" s="9" t="s">
        <v>3123</v>
      </c>
      <c r="L1407" s="9" t="s">
        <v>3124</v>
      </c>
      <c r="M1407" s="9">
        <v>12</v>
      </c>
      <c r="N1407" s="9">
        <v>15</v>
      </c>
      <c r="O1407" s="9" t="s">
        <v>57</v>
      </c>
      <c r="P1407" s="9" t="s">
        <v>58</v>
      </c>
      <c r="Q1407" s="9">
        <v>11</v>
      </c>
      <c r="R1407" s="9">
        <v>1</v>
      </c>
      <c r="S1407" s="9">
        <v>10</v>
      </c>
      <c r="T1407" s="9">
        <v>10</v>
      </c>
      <c r="U1407" s="9">
        <v>0</v>
      </c>
      <c r="V1407" s="9" t="s">
        <v>114</v>
      </c>
      <c r="W1407" s="9">
        <v>0</v>
      </c>
      <c r="X1407" s="9">
        <v>0</v>
      </c>
      <c r="Y1407" s="9">
        <v>0</v>
      </c>
      <c r="Z1407" s="9">
        <v>0</v>
      </c>
      <c r="AA1407" s="9">
        <v>0</v>
      </c>
      <c r="AB1407" s="9">
        <v>0</v>
      </c>
      <c r="AC1407" s="9">
        <v>14</v>
      </c>
      <c r="AD1407" s="9" t="s">
        <v>0</v>
      </c>
      <c r="AE1407" s="9" t="s">
        <v>60</v>
      </c>
    </row>
    <row r="1408" spans="1:31" ht="38.25" x14ac:dyDescent="0.2">
      <c r="A1408" s="6" t="str">
        <f>HYPERLINK("http://www.patentics.cn/invokexml.do?sx=showpatent_cn&amp;sf=ShowPatent&amp;spn=CN1988664&amp;sx=showpatent_cn&amp;sv=d4f52f526245e8ce2858e1313d57a2a4","CN1988664")</f>
        <v>CN1988664</v>
      </c>
      <c r="B1408" s="7" t="s">
        <v>7212</v>
      </c>
      <c r="C1408" s="7" t="s">
        <v>7213</v>
      </c>
      <c r="D1408" s="7" t="s">
        <v>1383</v>
      </c>
      <c r="E1408" s="7" t="s">
        <v>1383</v>
      </c>
      <c r="F1408" s="7" t="s">
        <v>7214</v>
      </c>
      <c r="G1408" s="7" t="s">
        <v>1730</v>
      </c>
      <c r="H1408" s="7" t="s">
        <v>7215</v>
      </c>
      <c r="I1408" s="7" t="s">
        <v>7215</v>
      </c>
      <c r="J1408" s="7" t="s">
        <v>2670</v>
      </c>
      <c r="K1408" s="7" t="s">
        <v>714</v>
      </c>
      <c r="L1408" s="7" t="s">
        <v>2278</v>
      </c>
      <c r="M1408" s="7">
        <v>4</v>
      </c>
      <c r="N1408" s="7">
        <v>36</v>
      </c>
      <c r="O1408" s="7" t="s">
        <v>42</v>
      </c>
      <c r="P1408" s="7" t="s">
        <v>43</v>
      </c>
      <c r="Q1408" s="7">
        <v>0</v>
      </c>
      <c r="R1408" s="7">
        <v>0</v>
      </c>
      <c r="S1408" s="7">
        <v>0</v>
      </c>
      <c r="T1408" s="7">
        <v>0</v>
      </c>
      <c r="U1408" s="7">
        <v>6</v>
      </c>
      <c r="V1408" s="7" t="s">
        <v>2437</v>
      </c>
      <c r="W1408" s="7">
        <v>0</v>
      </c>
      <c r="X1408" s="7">
        <v>6</v>
      </c>
      <c r="Y1408" s="7">
        <v>4</v>
      </c>
      <c r="Z1408" s="7">
        <v>2</v>
      </c>
      <c r="AA1408" s="7">
        <v>1</v>
      </c>
      <c r="AB1408" s="7">
        <v>1</v>
      </c>
      <c r="AC1408" s="7" t="s">
        <v>0</v>
      </c>
      <c r="AD1408" s="7">
        <v>1</v>
      </c>
      <c r="AE1408" s="7" t="s">
        <v>532</v>
      </c>
    </row>
    <row r="1409" spans="1:31" ht="127.5" x14ac:dyDescent="0.2">
      <c r="A1409" s="8" t="str">
        <f>HYPERLINK("http://www.patentics.cn/invokexml.do?sx=showpatent_cn&amp;sf=ShowPatent&amp;spn=US9736548&amp;sx=showpatent_cn&amp;sv=b1f15b45bad3ab36701d178bb0e9e7de","US9736548")</f>
        <v>US9736548</v>
      </c>
      <c r="B1409" s="9" t="s">
        <v>7216</v>
      </c>
      <c r="C1409" s="9" t="s">
        <v>7217</v>
      </c>
      <c r="D1409" s="9" t="s">
        <v>48</v>
      </c>
      <c r="E1409" s="9" t="s">
        <v>49</v>
      </c>
      <c r="F1409" s="9" t="s">
        <v>7218</v>
      </c>
      <c r="G1409" s="9" t="s">
        <v>2419</v>
      </c>
      <c r="H1409" s="9" t="s">
        <v>5735</v>
      </c>
      <c r="I1409" s="9" t="s">
        <v>5735</v>
      </c>
      <c r="J1409" s="9" t="s">
        <v>844</v>
      </c>
      <c r="K1409" s="9" t="s">
        <v>885</v>
      </c>
      <c r="L1409" s="9" t="s">
        <v>1014</v>
      </c>
      <c r="M1409" s="9">
        <v>42</v>
      </c>
      <c r="N1409" s="9">
        <v>11</v>
      </c>
      <c r="O1409" s="9" t="s">
        <v>57</v>
      </c>
      <c r="P1409" s="9" t="s">
        <v>58</v>
      </c>
      <c r="Q1409" s="9">
        <v>20</v>
      </c>
      <c r="R1409" s="9">
        <v>2</v>
      </c>
      <c r="S1409" s="9">
        <v>18</v>
      </c>
      <c r="T1409" s="9">
        <v>12</v>
      </c>
      <c r="U1409" s="9">
        <v>0</v>
      </c>
      <c r="V1409" s="9" t="s">
        <v>114</v>
      </c>
      <c r="W1409" s="9">
        <v>0</v>
      </c>
      <c r="X1409" s="9">
        <v>0</v>
      </c>
      <c r="Y1409" s="9">
        <v>0</v>
      </c>
      <c r="Z1409" s="9">
        <v>0</v>
      </c>
      <c r="AA1409" s="9">
        <v>8</v>
      </c>
      <c r="AB1409" s="9">
        <v>6</v>
      </c>
      <c r="AC1409" s="9">
        <v>14</v>
      </c>
      <c r="AD1409" s="9" t="s">
        <v>0</v>
      </c>
      <c r="AE1409" s="9" t="s">
        <v>60</v>
      </c>
    </row>
    <row r="1410" spans="1:31" ht="25.5" x14ac:dyDescent="0.2">
      <c r="A1410" s="6" t="str">
        <f>HYPERLINK("http://www.patentics.cn/invokexml.do?sx=showpatent_cn&amp;sf=ShowPatent&amp;spn=CN1988069&amp;sx=showpatent_cn&amp;sv=a2085db603b2d670b1e0cc5f35b06cd9","CN1988069")</f>
        <v>CN1988069</v>
      </c>
      <c r="B1410" s="7" t="s">
        <v>7219</v>
      </c>
      <c r="C1410" s="7" t="s">
        <v>7220</v>
      </c>
      <c r="D1410" s="7" t="s">
        <v>3572</v>
      </c>
      <c r="E1410" s="7" t="s">
        <v>3572</v>
      </c>
      <c r="F1410" s="7" t="s">
        <v>7221</v>
      </c>
      <c r="G1410" s="7" t="s">
        <v>7222</v>
      </c>
      <c r="H1410" s="7" t="s">
        <v>0</v>
      </c>
      <c r="I1410" s="7" t="s">
        <v>7147</v>
      </c>
      <c r="J1410" s="7" t="s">
        <v>2670</v>
      </c>
      <c r="K1410" s="7" t="s">
        <v>540</v>
      </c>
      <c r="L1410" s="7" t="s">
        <v>1675</v>
      </c>
      <c r="M1410" s="7">
        <v>1</v>
      </c>
      <c r="N1410" s="7">
        <v>17</v>
      </c>
      <c r="O1410" s="7" t="s">
        <v>42</v>
      </c>
      <c r="P1410" s="7" t="s">
        <v>43</v>
      </c>
      <c r="Q1410" s="7">
        <v>0</v>
      </c>
      <c r="R1410" s="7">
        <v>0</v>
      </c>
      <c r="S1410" s="7">
        <v>0</v>
      </c>
      <c r="T1410" s="7">
        <v>0</v>
      </c>
      <c r="U1410" s="7">
        <v>5</v>
      </c>
      <c r="V1410" s="7" t="s">
        <v>7223</v>
      </c>
      <c r="W1410" s="7">
        <v>2</v>
      </c>
      <c r="X1410" s="7">
        <v>3</v>
      </c>
      <c r="Y1410" s="7">
        <v>3</v>
      </c>
      <c r="Z1410" s="7">
        <v>2</v>
      </c>
      <c r="AA1410" s="7">
        <v>0</v>
      </c>
      <c r="AB1410" s="7">
        <v>0</v>
      </c>
      <c r="AC1410" s="7" t="s">
        <v>0</v>
      </c>
      <c r="AD1410" s="7">
        <v>1</v>
      </c>
      <c r="AE1410" s="7" t="s">
        <v>45</v>
      </c>
    </row>
    <row r="1411" spans="1:31" ht="89.25" x14ac:dyDescent="0.2">
      <c r="A1411" s="8" t="str">
        <f>HYPERLINK("http://www.patentics.cn/invokexml.do?sx=showpatent_cn&amp;sf=ShowPatent&amp;spn=US9225392&amp;sx=showpatent_cn&amp;sv=1b0bf922b622cea2e372d7609fefc3a0","US9225392")</f>
        <v>US9225392</v>
      </c>
      <c r="B1411" s="9" t="s">
        <v>7224</v>
      </c>
      <c r="C1411" s="9" t="s">
        <v>7225</v>
      </c>
      <c r="D1411" s="9" t="s">
        <v>48</v>
      </c>
      <c r="E1411" s="9" t="s">
        <v>49</v>
      </c>
      <c r="F1411" s="9" t="s">
        <v>7226</v>
      </c>
      <c r="G1411" s="9" t="s">
        <v>7227</v>
      </c>
      <c r="H1411" s="9" t="s">
        <v>5939</v>
      </c>
      <c r="I1411" s="9" t="s">
        <v>5939</v>
      </c>
      <c r="J1411" s="9" t="s">
        <v>249</v>
      </c>
      <c r="K1411" s="9" t="s">
        <v>580</v>
      </c>
      <c r="L1411" s="9" t="s">
        <v>1030</v>
      </c>
      <c r="M1411" s="9">
        <v>24</v>
      </c>
      <c r="N1411" s="9">
        <v>9</v>
      </c>
      <c r="O1411" s="9" t="s">
        <v>57</v>
      </c>
      <c r="P1411" s="9" t="s">
        <v>58</v>
      </c>
      <c r="Q1411" s="9">
        <v>31</v>
      </c>
      <c r="R1411" s="9">
        <v>2</v>
      </c>
      <c r="S1411" s="9">
        <v>29</v>
      </c>
      <c r="T1411" s="9">
        <v>17</v>
      </c>
      <c r="U1411" s="9">
        <v>0</v>
      </c>
      <c r="V1411" s="9" t="s">
        <v>114</v>
      </c>
      <c r="W1411" s="9">
        <v>0</v>
      </c>
      <c r="X1411" s="9">
        <v>0</v>
      </c>
      <c r="Y1411" s="9">
        <v>0</v>
      </c>
      <c r="Z1411" s="9">
        <v>0</v>
      </c>
      <c r="AA1411" s="9">
        <v>2</v>
      </c>
      <c r="AB1411" s="9">
        <v>2</v>
      </c>
      <c r="AC1411" s="9">
        <v>14</v>
      </c>
      <c r="AD1411" s="9" t="s">
        <v>0</v>
      </c>
      <c r="AE1411" s="9" t="s">
        <v>60</v>
      </c>
    </row>
    <row r="1412" spans="1:31" ht="38.25" x14ac:dyDescent="0.2">
      <c r="A1412" s="6" t="str">
        <f>HYPERLINK("http://www.patentics.cn/invokexml.do?sx=showpatent_cn&amp;sf=ShowPatent&amp;spn=CN1988402&amp;sx=showpatent_cn&amp;sv=5483f6d656868826b4aaeff19978aec7","CN1988402")</f>
        <v>CN1988402</v>
      </c>
      <c r="B1412" s="7" t="s">
        <v>7228</v>
      </c>
      <c r="C1412" s="7" t="s">
        <v>7229</v>
      </c>
      <c r="D1412" s="7" t="s">
        <v>309</v>
      </c>
      <c r="E1412" s="7" t="s">
        <v>309</v>
      </c>
      <c r="F1412" s="7" t="s">
        <v>7230</v>
      </c>
      <c r="G1412" s="7" t="s">
        <v>7231</v>
      </c>
      <c r="H1412" s="7" t="s">
        <v>7232</v>
      </c>
      <c r="I1412" s="7" t="s">
        <v>7232</v>
      </c>
      <c r="J1412" s="7" t="s">
        <v>2670</v>
      </c>
      <c r="K1412" s="7" t="s">
        <v>89</v>
      </c>
      <c r="L1412" s="7" t="s">
        <v>4954</v>
      </c>
      <c r="M1412" s="7">
        <v>13</v>
      </c>
      <c r="N1412" s="7">
        <v>8</v>
      </c>
      <c r="O1412" s="7" t="s">
        <v>42</v>
      </c>
      <c r="P1412" s="7" t="s">
        <v>43</v>
      </c>
      <c r="Q1412" s="7">
        <v>0</v>
      </c>
      <c r="R1412" s="7">
        <v>0</v>
      </c>
      <c r="S1412" s="7">
        <v>0</v>
      </c>
      <c r="T1412" s="7">
        <v>0</v>
      </c>
      <c r="U1412" s="7">
        <v>11</v>
      </c>
      <c r="V1412" s="7" t="s">
        <v>7233</v>
      </c>
      <c r="W1412" s="7">
        <v>0</v>
      </c>
      <c r="X1412" s="7">
        <v>11</v>
      </c>
      <c r="Y1412" s="7">
        <v>8</v>
      </c>
      <c r="Z1412" s="7">
        <v>3</v>
      </c>
      <c r="AA1412" s="7">
        <v>1</v>
      </c>
      <c r="AB1412" s="7">
        <v>1</v>
      </c>
      <c r="AC1412" s="7" t="s">
        <v>0</v>
      </c>
      <c r="AD1412" s="7">
        <v>1</v>
      </c>
      <c r="AE1412" s="7" t="s">
        <v>532</v>
      </c>
    </row>
    <row r="1413" spans="1:31" ht="242.25" x14ac:dyDescent="0.2">
      <c r="A1413" s="8" t="str">
        <f>HYPERLINK("http://www.patentics.cn/invokexml.do?sx=showpatent_cn&amp;sf=ShowPatent&amp;spn=US9413601&amp;sx=showpatent_cn&amp;sv=035a8d00468c79f65d42a081ad9e5bb8","US9413601")</f>
        <v>US9413601</v>
      </c>
      <c r="B1413" s="9" t="s">
        <v>7234</v>
      </c>
      <c r="C1413" s="9" t="s">
        <v>7235</v>
      </c>
      <c r="D1413" s="9" t="s">
        <v>48</v>
      </c>
      <c r="E1413" s="9" t="s">
        <v>49</v>
      </c>
      <c r="F1413" s="9" t="s">
        <v>7236</v>
      </c>
      <c r="G1413" s="9" t="s">
        <v>7237</v>
      </c>
      <c r="H1413" s="9" t="s">
        <v>7238</v>
      </c>
      <c r="I1413" s="9" t="s">
        <v>820</v>
      </c>
      <c r="J1413" s="9" t="s">
        <v>906</v>
      </c>
      <c r="K1413" s="9" t="s">
        <v>68</v>
      </c>
      <c r="L1413" s="9" t="s">
        <v>2448</v>
      </c>
      <c r="M1413" s="9">
        <v>30</v>
      </c>
      <c r="N1413" s="9">
        <v>9</v>
      </c>
      <c r="O1413" s="9" t="s">
        <v>57</v>
      </c>
      <c r="P1413" s="9" t="s">
        <v>58</v>
      </c>
      <c r="Q1413" s="9">
        <v>35</v>
      </c>
      <c r="R1413" s="9">
        <v>8</v>
      </c>
      <c r="S1413" s="9">
        <v>27</v>
      </c>
      <c r="T1413" s="9">
        <v>21</v>
      </c>
      <c r="U1413" s="9">
        <v>0</v>
      </c>
      <c r="V1413" s="9" t="s">
        <v>114</v>
      </c>
      <c r="W1413" s="9">
        <v>0</v>
      </c>
      <c r="X1413" s="9">
        <v>0</v>
      </c>
      <c r="Y1413" s="9">
        <v>0</v>
      </c>
      <c r="Z1413" s="9">
        <v>0</v>
      </c>
      <c r="AA1413" s="9">
        <v>5</v>
      </c>
      <c r="AB1413" s="9">
        <v>5</v>
      </c>
      <c r="AC1413" s="9">
        <v>14</v>
      </c>
      <c r="AD1413" s="9" t="s">
        <v>0</v>
      </c>
      <c r="AE1413" s="9" t="s">
        <v>60</v>
      </c>
    </row>
    <row r="1414" spans="1:31" ht="51" x14ac:dyDescent="0.2">
      <c r="A1414" s="6" t="str">
        <f>HYPERLINK("http://www.patentics.cn/invokexml.do?sx=showpatent_cn&amp;sf=ShowPatent&amp;spn=CN1984336&amp;sx=showpatent_cn&amp;sv=4631ee24c85361e17d45c4c7bb18a9bd","CN1984336")</f>
        <v>CN1984336</v>
      </c>
      <c r="B1414" s="7" t="s">
        <v>7239</v>
      </c>
      <c r="C1414" s="7" t="s">
        <v>7240</v>
      </c>
      <c r="D1414" s="7" t="s">
        <v>2267</v>
      </c>
      <c r="E1414" s="7" t="s">
        <v>2267</v>
      </c>
      <c r="F1414" s="7" t="s">
        <v>7241</v>
      </c>
      <c r="G1414" s="7" t="s">
        <v>7242</v>
      </c>
      <c r="H1414" s="7" t="s">
        <v>7243</v>
      </c>
      <c r="I1414" s="7" t="s">
        <v>7244</v>
      </c>
      <c r="J1414" s="7" t="s">
        <v>7245</v>
      </c>
      <c r="K1414" s="7" t="s">
        <v>714</v>
      </c>
      <c r="L1414" s="7" t="s">
        <v>1346</v>
      </c>
      <c r="M1414" s="7">
        <v>15</v>
      </c>
      <c r="N1414" s="7">
        <v>17</v>
      </c>
      <c r="O1414" s="7" t="s">
        <v>42</v>
      </c>
      <c r="P1414" s="7" t="s">
        <v>43</v>
      </c>
      <c r="Q1414" s="7">
        <v>0</v>
      </c>
      <c r="R1414" s="7">
        <v>0</v>
      </c>
      <c r="S1414" s="7">
        <v>0</v>
      </c>
      <c r="T1414" s="7">
        <v>0</v>
      </c>
      <c r="U1414" s="7">
        <v>9</v>
      </c>
      <c r="V1414" s="7" t="s">
        <v>7246</v>
      </c>
      <c r="W1414" s="7">
        <v>1</v>
      </c>
      <c r="X1414" s="7">
        <v>8</v>
      </c>
      <c r="Y1414" s="7">
        <v>6</v>
      </c>
      <c r="Z1414" s="7">
        <v>3</v>
      </c>
      <c r="AA1414" s="7">
        <v>8</v>
      </c>
      <c r="AB1414" s="7">
        <v>4</v>
      </c>
      <c r="AC1414" s="7" t="s">
        <v>0</v>
      </c>
      <c r="AD1414" s="7">
        <v>1</v>
      </c>
      <c r="AE1414" s="7" t="s">
        <v>45</v>
      </c>
    </row>
    <row r="1415" spans="1:31" ht="51" x14ac:dyDescent="0.2">
      <c r="A1415" s="8" t="str">
        <f>HYPERLINK("http://www.patentics.cn/invokexml.do?sx=showpatent_cn&amp;sf=ShowPatent&amp;spn=CN103202016B&amp;sx=showpatent_cn&amp;sv=f071256db41fb693a969fe00be9858ec","CN103202016B")</f>
        <v>CN103202016B</v>
      </c>
      <c r="B1415" s="9" t="s">
        <v>7247</v>
      </c>
      <c r="C1415" s="9" t="s">
        <v>7248</v>
      </c>
      <c r="D1415" s="9" t="s">
        <v>301</v>
      </c>
      <c r="E1415" s="9" t="s">
        <v>301</v>
      </c>
      <c r="F1415" s="9" t="s">
        <v>7249</v>
      </c>
      <c r="G1415" s="9" t="s">
        <v>3425</v>
      </c>
      <c r="H1415" s="9" t="s">
        <v>3558</v>
      </c>
      <c r="I1415" s="9" t="s">
        <v>7250</v>
      </c>
      <c r="J1415" s="9" t="s">
        <v>3872</v>
      </c>
      <c r="K1415" s="9" t="s">
        <v>714</v>
      </c>
      <c r="L1415" s="9" t="s">
        <v>7251</v>
      </c>
      <c r="M1415" s="9">
        <v>39</v>
      </c>
      <c r="N1415" s="9">
        <v>16</v>
      </c>
      <c r="O1415" s="9" t="s">
        <v>57</v>
      </c>
      <c r="P1415" s="9" t="s">
        <v>58</v>
      </c>
      <c r="Q1415" s="9">
        <v>3</v>
      </c>
      <c r="R1415" s="9">
        <v>0</v>
      </c>
      <c r="S1415" s="9">
        <v>3</v>
      </c>
      <c r="T1415" s="9">
        <v>3</v>
      </c>
      <c r="U1415" s="9">
        <v>0</v>
      </c>
      <c r="V1415" s="9" t="s">
        <v>114</v>
      </c>
      <c r="W1415" s="9">
        <v>0</v>
      </c>
      <c r="X1415" s="9">
        <v>0</v>
      </c>
      <c r="Y1415" s="9">
        <v>0</v>
      </c>
      <c r="Z1415" s="9">
        <v>0</v>
      </c>
      <c r="AA1415" s="9">
        <v>7</v>
      </c>
      <c r="AB1415" s="9">
        <v>6</v>
      </c>
      <c r="AC1415" s="9">
        <v>14</v>
      </c>
      <c r="AD1415" s="9" t="s">
        <v>0</v>
      </c>
      <c r="AE1415" s="9" t="s">
        <v>60</v>
      </c>
    </row>
    <row r="1416" spans="1:31" ht="38.25" x14ac:dyDescent="0.2">
      <c r="A1416" s="6" t="str">
        <f>HYPERLINK("http://www.patentics.cn/invokexml.do?sx=showpatent_cn&amp;sf=ShowPatent&amp;spn=CN1967658&amp;sx=showpatent_cn&amp;sv=48b8e050e23769bbf23b6e6a98f90e60","CN1967658")</f>
        <v>CN1967658</v>
      </c>
      <c r="B1416" s="7" t="s">
        <v>7252</v>
      </c>
      <c r="C1416" s="7" t="s">
        <v>7253</v>
      </c>
      <c r="D1416" s="7" t="s">
        <v>7254</v>
      </c>
      <c r="E1416" s="7" t="s">
        <v>1225</v>
      </c>
      <c r="F1416" s="7" t="s">
        <v>7255</v>
      </c>
      <c r="G1416" s="7" t="s">
        <v>7256</v>
      </c>
      <c r="H1416" s="7" t="s">
        <v>7257</v>
      </c>
      <c r="I1416" s="7" t="s">
        <v>7257</v>
      </c>
      <c r="J1416" s="7" t="s">
        <v>7258</v>
      </c>
      <c r="K1416" s="7" t="s">
        <v>1486</v>
      </c>
      <c r="L1416" s="7" t="s">
        <v>2641</v>
      </c>
      <c r="M1416" s="7">
        <v>8</v>
      </c>
      <c r="N1416" s="7">
        <v>36</v>
      </c>
      <c r="O1416" s="7" t="s">
        <v>42</v>
      </c>
      <c r="P1416" s="7" t="s">
        <v>43</v>
      </c>
      <c r="Q1416" s="7">
        <v>0</v>
      </c>
      <c r="R1416" s="7">
        <v>0</v>
      </c>
      <c r="S1416" s="7">
        <v>0</v>
      </c>
      <c r="T1416" s="7">
        <v>0</v>
      </c>
      <c r="U1416" s="7">
        <v>18</v>
      </c>
      <c r="V1416" s="7" t="s">
        <v>7259</v>
      </c>
      <c r="W1416" s="7">
        <v>0</v>
      </c>
      <c r="X1416" s="7">
        <v>18</v>
      </c>
      <c r="Y1416" s="7">
        <v>13</v>
      </c>
      <c r="Z1416" s="7">
        <v>3</v>
      </c>
      <c r="AA1416" s="7">
        <v>1</v>
      </c>
      <c r="AB1416" s="7">
        <v>1</v>
      </c>
      <c r="AC1416" s="7" t="s">
        <v>0</v>
      </c>
      <c r="AD1416" s="7">
        <v>1</v>
      </c>
      <c r="AE1416" s="7" t="s">
        <v>60</v>
      </c>
    </row>
    <row r="1417" spans="1:31" ht="165.75" x14ac:dyDescent="0.2">
      <c r="A1417" s="8" t="str">
        <f>HYPERLINK("http://www.patentics.cn/invokexml.do?sx=showpatent_cn&amp;sf=ShowPatent&amp;spn=CN102893331&amp;sx=showpatent_cn&amp;sv=6c6ec381eaa62816860fa262111e5916","CN102893331")</f>
        <v>CN102893331</v>
      </c>
      <c r="B1417" s="9" t="s">
        <v>7260</v>
      </c>
      <c r="C1417" s="9" t="s">
        <v>7261</v>
      </c>
      <c r="D1417" s="9" t="s">
        <v>301</v>
      </c>
      <c r="E1417" s="9" t="s">
        <v>301</v>
      </c>
      <c r="F1417" s="9" t="s">
        <v>7262</v>
      </c>
      <c r="G1417" s="9" t="s">
        <v>7263</v>
      </c>
      <c r="H1417" s="9" t="s">
        <v>7264</v>
      </c>
      <c r="I1417" s="9" t="s">
        <v>5605</v>
      </c>
      <c r="J1417" s="9" t="s">
        <v>7107</v>
      </c>
      <c r="K1417" s="9" t="s">
        <v>1486</v>
      </c>
      <c r="L1417" s="9" t="s">
        <v>7265</v>
      </c>
      <c r="M1417" s="9">
        <v>40</v>
      </c>
      <c r="N1417" s="9">
        <v>12</v>
      </c>
      <c r="O1417" s="9" t="s">
        <v>42</v>
      </c>
      <c r="P1417" s="9" t="s">
        <v>58</v>
      </c>
      <c r="Q1417" s="9">
        <v>8</v>
      </c>
      <c r="R1417" s="9">
        <v>2</v>
      </c>
      <c r="S1417" s="9">
        <v>6</v>
      </c>
      <c r="T1417" s="9">
        <v>7</v>
      </c>
      <c r="U1417" s="9">
        <v>1</v>
      </c>
      <c r="V1417" s="9" t="s">
        <v>78</v>
      </c>
      <c r="W1417" s="9">
        <v>0</v>
      </c>
      <c r="X1417" s="9">
        <v>1</v>
      </c>
      <c r="Y1417" s="9">
        <v>1</v>
      </c>
      <c r="Z1417" s="9">
        <v>1</v>
      </c>
      <c r="AA1417" s="9">
        <v>5</v>
      </c>
      <c r="AB1417" s="9">
        <v>6</v>
      </c>
      <c r="AC1417" s="9">
        <v>14</v>
      </c>
      <c r="AD1417" s="9" t="s">
        <v>0</v>
      </c>
      <c r="AE1417" s="9" t="s">
        <v>60</v>
      </c>
    </row>
    <row r="1418" spans="1:31" ht="63.75" x14ac:dyDescent="0.2">
      <c r="A1418" s="6" t="str">
        <f>HYPERLINK("http://www.patentics.cn/invokexml.do?sx=showpatent_cn&amp;sf=ShowPatent&amp;spn=CN1960575&amp;sx=showpatent_cn&amp;sv=d582bfe565961ba05e9f4bbbe77e0272","CN1960575")</f>
        <v>CN1960575</v>
      </c>
      <c r="B1418" s="7" t="s">
        <v>7266</v>
      </c>
      <c r="C1418" s="7" t="s">
        <v>7267</v>
      </c>
      <c r="D1418" s="7" t="s">
        <v>7268</v>
      </c>
      <c r="E1418" s="7" t="s">
        <v>7268</v>
      </c>
      <c r="F1418" s="7" t="s">
        <v>7269</v>
      </c>
      <c r="G1418" s="7" t="s">
        <v>7270</v>
      </c>
      <c r="H1418" s="7" t="s">
        <v>7271</v>
      </c>
      <c r="I1418" s="7" t="s">
        <v>7272</v>
      </c>
      <c r="J1418" s="7" t="s">
        <v>7273</v>
      </c>
      <c r="K1418" s="7" t="s">
        <v>96</v>
      </c>
      <c r="L1418" s="7" t="s">
        <v>1102</v>
      </c>
      <c r="M1418" s="7">
        <v>21</v>
      </c>
      <c r="N1418" s="7">
        <v>17</v>
      </c>
      <c r="O1418" s="7" t="s">
        <v>42</v>
      </c>
      <c r="P1418" s="7" t="s">
        <v>341</v>
      </c>
      <c r="Q1418" s="7">
        <v>0</v>
      </c>
      <c r="R1418" s="7">
        <v>0</v>
      </c>
      <c r="S1418" s="7">
        <v>0</v>
      </c>
      <c r="T1418" s="7">
        <v>0</v>
      </c>
      <c r="U1418" s="7">
        <v>13</v>
      </c>
      <c r="V1418" s="7" t="s">
        <v>7274</v>
      </c>
      <c r="W1418" s="7">
        <v>0</v>
      </c>
      <c r="X1418" s="7">
        <v>13</v>
      </c>
      <c r="Y1418" s="7">
        <v>8</v>
      </c>
      <c r="Z1418" s="7">
        <v>3</v>
      </c>
      <c r="AA1418" s="7">
        <v>5</v>
      </c>
      <c r="AB1418" s="7">
        <v>3</v>
      </c>
      <c r="AC1418" s="7" t="s">
        <v>0</v>
      </c>
      <c r="AD1418" s="7">
        <v>1</v>
      </c>
      <c r="AE1418" s="7" t="s">
        <v>532</v>
      </c>
    </row>
    <row r="1419" spans="1:31" ht="25.5" x14ac:dyDescent="0.2">
      <c r="A1419" s="8" t="str">
        <f>HYPERLINK("http://www.patentics.cn/invokexml.do?sx=showpatent_cn&amp;sf=ShowPatent&amp;spn=CN103039102B&amp;sx=showpatent_cn&amp;sv=22dfa5667092f36c68efa16023f07388","CN103039102B")</f>
        <v>CN103039102B</v>
      </c>
      <c r="B1419" s="9" t="s">
        <v>7275</v>
      </c>
      <c r="C1419" s="9" t="s">
        <v>7276</v>
      </c>
      <c r="D1419" s="9" t="s">
        <v>301</v>
      </c>
      <c r="E1419" s="9" t="s">
        <v>301</v>
      </c>
      <c r="F1419" s="9" t="s">
        <v>7277</v>
      </c>
      <c r="G1419" s="9" t="s">
        <v>7278</v>
      </c>
      <c r="H1419" s="9" t="s">
        <v>6167</v>
      </c>
      <c r="I1419" s="9" t="s">
        <v>7279</v>
      </c>
      <c r="J1419" s="9" t="s">
        <v>2178</v>
      </c>
      <c r="K1419" s="9" t="s">
        <v>55</v>
      </c>
      <c r="L1419" s="9" t="s">
        <v>5194</v>
      </c>
      <c r="M1419" s="9">
        <v>15</v>
      </c>
      <c r="N1419" s="9">
        <v>15</v>
      </c>
      <c r="O1419" s="9" t="s">
        <v>57</v>
      </c>
      <c r="P1419" s="9" t="s">
        <v>58</v>
      </c>
      <c r="Q1419" s="9">
        <v>4</v>
      </c>
      <c r="R1419" s="9">
        <v>0</v>
      </c>
      <c r="S1419" s="9">
        <v>4</v>
      </c>
      <c r="T1419" s="9">
        <v>4</v>
      </c>
      <c r="U1419" s="9">
        <v>0</v>
      </c>
      <c r="V1419" s="9" t="s">
        <v>114</v>
      </c>
      <c r="W1419" s="9">
        <v>0</v>
      </c>
      <c r="X1419" s="9">
        <v>0</v>
      </c>
      <c r="Y1419" s="9">
        <v>0</v>
      </c>
      <c r="Z1419" s="9">
        <v>0</v>
      </c>
      <c r="AA1419" s="9">
        <v>9</v>
      </c>
      <c r="AB1419" s="9">
        <v>6</v>
      </c>
      <c r="AC1419" s="9">
        <v>14</v>
      </c>
      <c r="AD1419" s="9" t="s">
        <v>0</v>
      </c>
      <c r="AE1419" s="9" t="s">
        <v>60</v>
      </c>
    </row>
    <row r="1420" spans="1:31" ht="25.5" x14ac:dyDescent="0.2">
      <c r="A1420" s="6" t="str">
        <f>HYPERLINK("http://www.patentics.cn/invokexml.do?sx=showpatent_cn&amp;sf=ShowPatent&amp;spn=CN1960164&amp;sx=showpatent_cn&amp;sv=622915bc5acb34fc26655150af95410a","CN1960164")</f>
        <v>CN1960164</v>
      </c>
      <c r="B1420" s="7" t="s">
        <v>7280</v>
      </c>
      <c r="C1420" s="7" t="s">
        <v>7281</v>
      </c>
      <c r="D1420" s="7" t="s">
        <v>1383</v>
      </c>
      <c r="E1420" s="7" t="s">
        <v>1383</v>
      </c>
      <c r="F1420" s="7" t="s">
        <v>7282</v>
      </c>
      <c r="G1420" s="7" t="s">
        <v>7073</v>
      </c>
      <c r="H1420" s="7" t="s">
        <v>7283</v>
      </c>
      <c r="I1420" s="7" t="s">
        <v>7283</v>
      </c>
      <c r="J1420" s="7" t="s">
        <v>7273</v>
      </c>
      <c r="K1420" s="7" t="s">
        <v>2390</v>
      </c>
      <c r="L1420" s="7" t="s">
        <v>2391</v>
      </c>
      <c r="M1420" s="7">
        <v>1</v>
      </c>
      <c r="N1420" s="7">
        <v>105</v>
      </c>
      <c r="O1420" s="7" t="s">
        <v>42</v>
      </c>
      <c r="P1420" s="7" t="s">
        <v>43</v>
      </c>
      <c r="Q1420" s="7">
        <v>0</v>
      </c>
      <c r="R1420" s="7">
        <v>0</v>
      </c>
      <c r="S1420" s="7">
        <v>0</v>
      </c>
      <c r="T1420" s="7">
        <v>0</v>
      </c>
      <c r="U1420" s="7">
        <v>7</v>
      </c>
      <c r="V1420" s="7" t="s">
        <v>7284</v>
      </c>
      <c r="W1420" s="7">
        <v>0</v>
      </c>
      <c r="X1420" s="7">
        <v>7</v>
      </c>
      <c r="Y1420" s="7">
        <v>5</v>
      </c>
      <c r="Z1420" s="7">
        <v>1</v>
      </c>
      <c r="AA1420" s="7">
        <v>1</v>
      </c>
      <c r="AB1420" s="7">
        <v>1</v>
      </c>
      <c r="AC1420" s="7" t="s">
        <v>0</v>
      </c>
      <c r="AD1420" s="7">
        <v>1</v>
      </c>
      <c r="AE1420" s="7" t="s">
        <v>532</v>
      </c>
    </row>
    <row r="1421" spans="1:31" ht="38.25" x14ac:dyDescent="0.2">
      <c r="A1421" s="8" t="str">
        <f>HYPERLINK("http://www.patentics.cn/invokexml.do?sx=showpatent_cn&amp;sf=ShowPatent&amp;spn=CN102843128B&amp;sx=showpatent_cn&amp;sv=50a4ed64951a83de8aedc83e03c5b1fa","CN102843128B")</f>
        <v>CN102843128B</v>
      </c>
      <c r="B1421" s="9" t="s">
        <v>7285</v>
      </c>
      <c r="C1421" s="9" t="s">
        <v>7286</v>
      </c>
      <c r="D1421" s="9" t="s">
        <v>301</v>
      </c>
      <c r="E1421" s="9" t="s">
        <v>301</v>
      </c>
      <c r="F1421" s="9" t="s">
        <v>7287</v>
      </c>
      <c r="G1421" s="9" t="s">
        <v>7288</v>
      </c>
      <c r="H1421" s="9" t="s">
        <v>0</v>
      </c>
      <c r="I1421" s="9" t="s">
        <v>7289</v>
      </c>
      <c r="J1421" s="9" t="s">
        <v>4036</v>
      </c>
      <c r="K1421" s="9" t="s">
        <v>2207</v>
      </c>
      <c r="L1421" s="9" t="s">
        <v>5650</v>
      </c>
      <c r="M1421" s="9">
        <v>10</v>
      </c>
      <c r="N1421" s="9">
        <v>20</v>
      </c>
      <c r="O1421" s="9" t="s">
        <v>57</v>
      </c>
      <c r="P1421" s="9" t="s">
        <v>43</v>
      </c>
      <c r="Q1421" s="9">
        <v>4</v>
      </c>
      <c r="R1421" s="9">
        <v>2</v>
      </c>
      <c r="S1421" s="9">
        <v>2</v>
      </c>
      <c r="T1421" s="9">
        <v>3</v>
      </c>
      <c r="U1421" s="9">
        <v>0</v>
      </c>
      <c r="V1421" s="9" t="s">
        <v>114</v>
      </c>
      <c r="W1421" s="9">
        <v>0</v>
      </c>
      <c r="X1421" s="9">
        <v>0</v>
      </c>
      <c r="Y1421" s="9">
        <v>0</v>
      </c>
      <c r="Z1421" s="9">
        <v>0</v>
      </c>
      <c r="AA1421" s="9">
        <v>0</v>
      </c>
      <c r="AB1421" s="9">
        <v>0</v>
      </c>
      <c r="AC1421" s="9">
        <v>14</v>
      </c>
      <c r="AD1421" s="9" t="s">
        <v>0</v>
      </c>
      <c r="AE1421" s="9" t="s">
        <v>60</v>
      </c>
    </row>
    <row r="1422" spans="1:31" ht="38.25" x14ac:dyDescent="0.2">
      <c r="A1422" s="6" t="str">
        <f>HYPERLINK("http://www.patentics.cn/invokexml.do?sx=showpatent_cn&amp;sf=ShowPatent&amp;spn=CN1956342&amp;sx=showpatent_cn&amp;sv=a55a302cc38d22d7d5488b223983b373","CN1956342")</f>
        <v>CN1956342</v>
      </c>
      <c r="B1422" s="7" t="s">
        <v>7290</v>
      </c>
      <c r="C1422" s="7" t="s">
        <v>7291</v>
      </c>
      <c r="D1422" s="7" t="s">
        <v>1097</v>
      </c>
      <c r="E1422" s="7" t="s">
        <v>1097</v>
      </c>
      <c r="F1422" s="7" t="s">
        <v>7292</v>
      </c>
      <c r="G1422" s="7" t="s">
        <v>7293</v>
      </c>
      <c r="H1422" s="7" t="s">
        <v>0</v>
      </c>
      <c r="I1422" s="7" t="s">
        <v>2595</v>
      </c>
      <c r="J1422" s="7" t="s">
        <v>7294</v>
      </c>
      <c r="K1422" s="7" t="s">
        <v>89</v>
      </c>
      <c r="L1422" s="7" t="s">
        <v>2680</v>
      </c>
      <c r="M1422" s="7">
        <v>5</v>
      </c>
      <c r="N1422" s="7">
        <v>27</v>
      </c>
      <c r="O1422" s="7" t="s">
        <v>42</v>
      </c>
      <c r="P1422" s="7" t="s">
        <v>43</v>
      </c>
      <c r="Q1422" s="7">
        <v>0</v>
      </c>
      <c r="R1422" s="7">
        <v>0</v>
      </c>
      <c r="S1422" s="7">
        <v>0</v>
      </c>
      <c r="T1422" s="7">
        <v>0</v>
      </c>
      <c r="U1422" s="7">
        <v>10</v>
      </c>
      <c r="V1422" s="7" t="s">
        <v>7295</v>
      </c>
      <c r="W1422" s="7">
        <v>0</v>
      </c>
      <c r="X1422" s="7">
        <v>10</v>
      </c>
      <c r="Y1422" s="7">
        <v>7</v>
      </c>
      <c r="Z1422" s="7">
        <v>3</v>
      </c>
      <c r="AA1422" s="7">
        <v>0</v>
      </c>
      <c r="AB1422" s="7">
        <v>0</v>
      </c>
      <c r="AC1422" s="7" t="s">
        <v>0</v>
      </c>
      <c r="AD1422" s="7">
        <v>1</v>
      </c>
      <c r="AE1422" s="7" t="s">
        <v>45</v>
      </c>
    </row>
    <row r="1423" spans="1:31" ht="38.25" x14ac:dyDescent="0.2">
      <c r="A1423" s="8" t="str">
        <f>HYPERLINK("http://www.patentics.cn/invokexml.do?sx=showpatent_cn&amp;sf=ShowPatent&amp;spn=CN101810020B&amp;sx=showpatent_cn&amp;sv=f127859eb4d759d0afaeedd802b98353","CN101810020B")</f>
        <v>CN101810020B</v>
      </c>
      <c r="B1423" s="9" t="s">
        <v>7296</v>
      </c>
      <c r="C1423" s="9" t="s">
        <v>7297</v>
      </c>
      <c r="D1423" s="9" t="s">
        <v>301</v>
      </c>
      <c r="E1423" s="9" t="s">
        <v>301</v>
      </c>
      <c r="F1423" s="9" t="s">
        <v>7298</v>
      </c>
      <c r="G1423" s="9" t="s">
        <v>7299</v>
      </c>
      <c r="H1423" s="9" t="s">
        <v>7300</v>
      </c>
      <c r="I1423" s="9" t="s">
        <v>1012</v>
      </c>
      <c r="J1423" s="9" t="s">
        <v>2111</v>
      </c>
      <c r="K1423" s="9" t="s">
        <v>55</v>
      </c>
      <c r="L1423" s="9" t="s">
        <v>2362</v>
      </c>
      <c r="M1423" s="9">
        <v>28</v>
      </c>
      <c r="N1423" s="9">
        <v>15</v>
      </c>
      <c r="O1423" s="9" t="s">
        <v>57</v>
      </c>
      <c r="P1423" s="9" t="s">
        <v>58</v>
      </c>
      <c r="Q1423" s="9">
        <v>3</v>
      </c>
      <c r="R1423" s="9">
        <v>0</v>
      </c>
      <c r="S1423" s="9">
        <v>3</v>
      </c>
      <c r="T1423" s="9">
        <v>3</v>
      </c>
      <c r="U1423" s="9">
        <v>0</v>
      </c>
      <c r="V1423" s="9" t="s">
        <v>114</v>
      </c>
      <c r="W1423" s="9">
        <v>0</v>
      </c>
      <c r="X1423" s="9">
        <v>0</v>
      </c>
      <c r="Y1423" s="9">
        <v>0</v>
      </c>
      <c r="Z1423" s="9">
        <v>0</v>
      </c>
      <c r="AA1423" s="9">
        <v>19</v>
      </c>
      <c r="AB1423" s="9">
        <v>13</v>
      </c>
      <c r="AC1423" s="9">
        <v>14</v>
      </c>
      <c r="AD1423" s="9" t="s">
        <v>0</v>
      </c>
      <c r="AE1423" s="9" t="s">
        <v>60</v>
      </c>
    </row>
    <row r="1424" spans="1:31" ht="25.5" x14ac:dyDescent="0.2">
      <c r="A1424" s="6" t="str">
        <f>HYPERLINK("http://www.patentics.cn/invokexml.do?sx=showpatent_cn&amp;sf=ShowPatent&amp;spn=CN1949691&amp;sx=showpatent_cn&amp;sv=3251d6f2e37a8208d344c58af3b03014","CN1949691")</f>
        <v>CN1949691</v>
      </c>
      <c r="B1424" s="7" t="s">
        <v>7301</v>
      </c>
      <c r="C1424" s="7" t="s">
        <v>7302</v>
      </c>
      <c r="D1424" s="7" t="s">
        <v>2320</v>
      </c>
      <c r="E1424" s="7" t="s">
        <v>2320</v>
      </c>
      <c r="F1424" s="7" t="s">
        <v>7303</v>
      </c>
      <c r="G1424" s="7" t="s">
        <v>7304</v>
      </c>
      <c r="H1424" s="7" t="s">
        <v>7305</v>
      </c>
      <c r="I1424" s="7" t="s">
        <v>7305</v>
      </c>
      <c r="J1424" s="7" t="s">
        <v>1229</v>
      </c>
      <c r="K1424" s="7" t="s">
        <v>89</v>
      </c>
      <c r="L1424" s="7" t="s">
        <v>1313</v>
      </c>
      <c r="M1424" s="7">
        <v>6</v>
      </c>
      <c r="N1424" s="7">
        <v>55</v>
      </c>
      <c r="O1424" s="7" t="s">
        <v>42</v>
      </c>
      <c r="P1424" s="7" t="s">
        <v>43</v>
      </c>
      <c r="Q1424" s="7">
        <v>0</v>
      </c>
      <c r="R1424" s="7">
        <v>0</v>
      </c>
      <c r="S1424" s="7">
        <v>0</v>
      </c>
      <c r="T1424" s="7">
        <v>0</v>
      </c>
      <c r="U1424" s="7">
        <v>10</v>
      </c>
      <c r="V1424" s="7" t="s">
        <v>7306</v>
      </c>
      <c r="W1424" s="7">
        <v>0</v>
      </c>
      <c r="X1424" s="7">
        <v>10</v>
      </c>
      <c r="Y1424" s="7">
        <v>6</v>
      </c>
      <c r="Z1424" s="7">
        <v>3</v>
      </c>
      <c r="AA1424" s="7">
        <v>1</v>
      </c>
      <c r="AB1424" s="7">
        <v>1</v>
      </c>
      <c r="AC1424" s="7" t="s">
        <v>0</v>
      </c>
      <c r="AD1424" s="7">
        <v>1</v>
      </c>
      <c r="AE1424" s="7" t="s">
        <v>532</v>
      </c>
    </row>
    <row r="1425" spans="1:31" ht="63.75" x14ac:dyDescent="0.2">
      <c r="A1425" s="8" t="str">
        <f>HYPERLINK("http://www.patentics.cn/invokexml.do?sx=showpatent_cn&amp;sf=ShowPatent&amp;spn=CN103889042B&amp;sx=showpatent_cn&amp;sv=fedaed891f7a616c0fcef0f94b089d23","CN103889042B")</f>
        <v>CN103889042B</v>
      </c>
      <c r="B1425" s="9" t="s">
        <v>7307</v>
      </c>
      <c r="C1425" s="9" t="s">
        <v>7308</v>
      </c>
      <c r="D1425" s="9" t="s">
        <v>301</v>
      </c>
      <c r="E1425" s="9" t="s">
        <v>301</v>
      </c>
      <c r="F1425" s="9" t="s">
        <v>7309</v>
      </c>
      <c r="G1425" s="9" t="s">
        <v>7310</v>
      </c>
      <c r="H1425" s="9" t="s">
        <v>2872</v>
      </c>
      <c r="I1425" s="9" t="s">
        <v>2873</v>
      </c>
      <c r="J1425" s="9" t="s">
        <v>414</v>
      </c>
      <c r="K1425" s="9" t="s">
        <v>55</v>
      </c>
      <c r="L1425" s="9" t="s">
        <v>1825</v>
      </c>
      <c r="M1425" s="9">
        <v>18</v>
      </c>
      <c r="N1425" s="9">
        <v>12</v>
      </c>
      <c r="O1425" s="9" t="s">
        <v>57</v>
      </c>
      <c r="P1425" s="9" t="s">
        <v>58</v>
      </c>
      <c r="Q1425" s="9">
        <v>3</v>
      </c>
      <c r="R1425" s="9">
        <v>1</v>
      </c>
      <c r="S1425" s="9">
        <v>2</v>
      </c>
      <c r="T1425" s="9">
        <v>2</v>
      </c>
      <c r="U1425" s="9">
        <v>0</v>
      </c>
      <c r="V1425" s="9" t="s">
        <v>114</v>
      </c>
      <c r="W1425" s="9">
        <v>0</v>
      </c>
      <c r="X1425" s="9">
        <v>0</v>
      </c>
      <c r="Y1425" s="9">
        <v>0</v>
      </c>
      <c r="Z1425" s="9">
        <v>0</v>
      </c>
      <c r="AA1425" s="9">
        <v>0</v>
      </c>
      <c r="AB1425" s="9">
        <v>0</v>
      </c>
      <c r="AC1425" s="9">
        <v>14</v>
      </c>
      <c r="AD1425" s="9" t="s">
        <v>0</v>
      </c>
      <c r="AE1425" s="9" t="s">
        <v>60</v>
      </c>
    </row>
    <row r="1426" spans="1:31" ht="25.5" x14ac:dyDescent="0.2">
      <c r="A1426" s="6" t="str">
        <f>HYPERLINK("http://www.patentics.cn/invokexml.do?sx=showpatent_cn&amp;sf=ShowPatent&amp;spn=CN1921415&amp;sx=showpatent_cn&amp;sv=515372777d347ccd232f9ed3844bbd13","CN1921415")</f>
        <v>CN1921415</v>
      </c>
      <c r="B1426" s="7" t="s">
        <v>7311</v>
      </c>
      <c r="C1426" s="7" t="s">
        <v>7312</v>
      </c>
      <c r="D1426" s="7" t="s">
        <v>932</v>
      </c>
      <c r="E1426" s="7" t="s">
        <v>932</v>
      </c>
      <c r="F1426" s="7" t="s">
        <v>7313</v>
      </c>
      <c r="G1426" s="7" t="s">
        <v>7314</v>
      </c>
      <c r="H1426" s="7" t="s">
        <v>7315</v>
      </c>
      <c r="I1426" s="7" t="s">
        <v>7315</v>
      </c>
      <c r="J1426" s="7" t="s">
        <v>7316</v>
      </c>
      <c r="K1426" s="7" t="s">
        <v>68</v>
      </c>
      <c r="L1426" s="7" t="s">
        <v>2448</v>
      </c>
      <c r="M1426" s="7">
        <v>10</v>
      </c>
      <c r="N1426" s="7">
        <v>33</v>
      </c>
      <c r="O1426" s="7" t="s">
        <v>42</v>
      </c>
      <c r="P1426" s="7" t="s">
        <v>43</v>
      </c>
      <c r="Q1426" s="7">
        <v>0</v>
      </c>
      <c r="R1426" s="7">
        <v>0</v>
      </c>
      <c r="S1426" s="7">
        <v>0</v>
      </c>
      <c r="T1426" s="7">
        <v>0</v>
      </c>
      <c r="U1426" s="7">
        <v>13</v>
      </c>
      <c r="V1426" s="7" t="s">
        <v>7317</v>
      </c>
      <c r="W1426" s="7">
        <v>0</v>
      </c>
      <c r="X1426" s="7">
        <v>13</v>
      </c>
      <c r="Y1426" s="7">
        <v>8</v>
      </c>
      <c r="Z1426" s="7">
        <v>3</v>
      </c>
      <c r="AA1426" s="7">
        <v>1</v>
      </c>
      <c r="AB1426" s="7">
        <v>1</v>
      </c>
      <c r="AC1426" s="7" t="s">
        <v>0</v>
      </c>
      <c r="AD1426" s="7">
        <v>1</v>
      </c>
      <c r="AE1426" s="7" t="s">
        <v>532</v>
      </c>
    </row>
    <row r="1427" spans="1:31" ht="89.25" x14ac:dyDescent="0.2">
      <c r="A1427" s="8" t="str">
        <f>HYPERLINK("http://www.patentics.cn/invokexml.do?sx=showpatent_cn&amp;sf=ShowPatent&amp;spn=US8724636&amp;sx=showpatent_cn&amp;sv=7ce8d3707a513b81ce59611109492f38","US8724636")</f>
        <v>US8724636</v>
      </c>
      <c r="B1427" s="9" t="s">
        <v>7318</v>
      </c>
      <c r="C1427" s="9" t="s">
        <v>7319</v>
      </c>
      <c r="D1427" s="9" t="s">
        <v>48</v>
      </c>
      <c r="E1427" s="9" t="s">
        <v>49</v>
      </c>
      <c r="F1427" s="9" t="s">
        <v>2469</v>
      </c>
      <c r="G1427" s="9" t="s">
        <v>2470</v>
      </c>
      <c r="H1427" s="9" t="s">
        <v>7320</v>
      </c>
      <c r="I1427" s="9" t="s">
        <v>3700</v>
      </c>
      <c r="J1427" s="9" t="s">
        <v>1953</v>
      </c>
      <c r="K1427" s="9" t="s">
        <v>55</v>
      </c>
      <c r="L1427" s="9" t="s">
        <v>206</v>
      </c>
      <c r="M1427" s="9">
        <v>15</v>
      </c>
      <c r="N1427" s="9">
        <v>16</v>
      </c>
      <c r="O1427" s="9" t="s">
        <v>57</v>
      </c>
      <c r="P1427" s="9" t="s">
        <v>58</v>
      </c>
      <c r="Q1427" s="9">
        <v>19</v>
      </c>
      <c r="R1427" s="9">
        <v>1</v>
      </c>
      <c r="S1427" s="9">
        <v>18</v>
      </c>
      <c r="T1427" s="9">
        <v>10</v>
      </c>
      <c r="U1427" s="9">
        <v>10</v>
      </c>
      <c r="V1427" s="9" t="s">
        <v>6624</v>
      </c>
      <c r="W1427" s="9">
        <v>0</v>
      </c>
      <c r="X1427" s="9">
        <v>10</v>
      </c>
      <c r="Y1427" s="9">
        <v>4</v>
      </c>
      <c r="Z1427" s="9">
        <v>2</v>
      </c>
      <c r="AA1427" s="9">
        <v>59</v>
      </c>
      <c r="AB1427" s="9">
        <v>20</v>
      </c>
      <c r="AC1427" s="9">
        <v>14</v>
      </c>
      <c r="AD1427" s="9" t="s">
        <v>0</v>
      </c>
      <c r="AE1427" s="9" t="s">
        <v>60</v>
      </c>
    </row>
    <row r="1428" spans="1:31" ht="25.5" x14ac:dyDescent="0.2">
      <c r="A1428" s="6" t="str">
        <f>HYPERLINK("http://www.patentics.cn/invokexml.do?sx=showpatent_cn&amp;sf=ShowPatent&amp;spn=CN1920947&amp;sx=showpatent_cn&amp;sv=e701bfa7e92999f824de474b883c9719","CN1920947")</f>
        <v>CN1920947</v>
      </c>
      <c r="B1428" s="7" t="s">
        <v>7321</v>
      </c>
      <c r="C1428" s="7" t="s">
        <v>7322</v>
      </c>
      <c r="D1428" s="7" t="s">
        <v>1383</v>
      </c>
      <c r="E1428" s="7" t="s">
        <v>1383</v>
      </c>
      <c r="F1428" s="7" t="s">
        <v>7323</v>
      </c>
      <c r="G1428" s="7" t="s">
        <v>7324</v>
      </c>
      <c r="H1428" s="7" t="s">
        <v>7325</v>
      </c>
      <c r="I1428" s="7" t="s">
        <v>7325</v>
      </c>
      <c r="J1428" s="7" t="s">
        <v>7316</v>
      </c>
      <c r="K1428" s="7" t="s">
        <v>1486</v>
      </c>
      <c r="L1428" s="7" t="s">
        <v>7326</v>
      </c>
      <c r="M1428" s="7">
        <v>1</v>
      </c>
      <c r="N1428" s="7">
        <v>91</v>
      </c>
      <c r="O1428" s="7" t="s">
        <v>42</v>
      </c>
      <c r="P1428" s="7" t="s">
        <v>43</v>
      </c>
      <c r="Q1428" s="7">
        <v>0</v>
      </c>
      <c r="R1428" s="7">
        <v>0</v>
      </c>
      <c r="S1428" s="7">
        <v>0</v>
      </c>
      <c r="T1428" s="7">
        <v>0</v>
      </c>
      <c r="U1428" s="7">
        <v>12</v>
      </c>
      <c r="V1428" s="7" t="s">
        <v>7327</v>
      </c>
      <c r="W1428" s="7">
        <v>0</v>
      </c>
      <c r="X1428" s="7">
        <v>12</v>
      </c>
      <c r="Y1428" s="7">
        <v>5</v>
      </c>
      <c r="Z1428" s="7">
        <v>3</v>
      </c>
      <c r="AA1428" s="7">
        <v>1</v>
      </c>
      <c r="AB1428" s="7">
        <v>1</v>
      </c>
      <c r="AC1428" s="7" t="s">
        <v>0</v>
      </c>
      <c r="AD1428" s="7">
        <v>1</v>
      </c>
      <c r="AE1428" s="7" t="s">
        <v>60</v>
      </c>
    </row>
    <row r="1429" spans="1:31" ht="63.75" x14ac:dyDescent="0.2">
      <c r="A1429" s="8" t="str">
        <f>HYPERLINK("http://www.patentics.cn/invokexml.do?sx=showpatent_cn&amp;sf=ShowPatent&amp;spn=CN104040626B&amp;sx=showpatent_cn&amp;sv=d3ea2a952205f6e3c10cd78204c94c0c","CN104040626B")</f>
        <v>CN104040626B</v>
      </c>
      <c r="B1429" s="9" t="s">
        <v>5840</v>
      </c>
      <c r="C1429" s="9" t="s">
        <v>5841</v>
      </c>
      <c r="D1429" s="9" t="s">
        <v>301</v>
      </c>
      <c r="E1429" s="9" t="s">
        <v>301</v>
      </c>
      <c r="F1429" s="9" t="s">
        <v>5842</v>
      </c>
      <c r="G1429" s="9" t="s">
        <v>5843</v>
      </c>
      <c r="H1429" s="9" t="s">
        <v>5844</v>
      </c>
      <c r="I1429" s="9" t="s">
        <v>5845</v>
      </c>
      <c r="J1429" s="9" t="s">
        <v>5846</v>
      </c>
      <c r="K1429" s="9" t="s">
        <v>1486</v>
      </c>
      <c r="L1429" s="9" t="s">
        <v>5847</v>
      </c>
      <c r="M1429" s="9">
        <v>40</v>
      </c>
      <c r="N1429" s="9">
        <v>12</v>
      </c>
      <c r="O1429" s="9" t="s">
        <v>57</v>
      </c>
      <c r="P1429" s="9" t="s">
        <v>58</v>
      </c>
      <c r="Q1429" s="9">
        <v>12</v>
      </c>
      <c r="R1429" s="9">
        <v>2</v>
      </c>
      <c r="S1429" s="9">
        <v>10</v>
      </c>
      <c r="T1429" s="9">
        <v>10</v>
      </c>
      <c r="U1429" s="9">
        <v>0</v>
      </c>
      <c r="V1429" s="9" t="s">
        <v>114</v>
      </c>
      <c r="W1429" s="9">
        <v>0</v>
      </c>
      <c r="X1429" s="9">
        <v>0</v>
      </c>
      <c r="Y1429" s="9">
        <v>0</v>
      </c>
      <c r="Z1429" s="9">
        <v>0</v>
      </c>
      <c r="AA1429" s="9">
        <v>0</v>
      </c>
      <c r="AB1429" s="9">
        <v>0</v>
      </c>
      <c r="AC1429" s="9">
        <v>14</v>
      </c>
      <c r="AD1429" s="9" t="s">
        <v>0</v>
      </c>
      <c r="AE1429" s="9" t="s">
        <v>60</v>
      </c>
    </row>
    <row r="1430" spans="1:31" ht="51" x14ac:dyDescent="0.2">
      <c r="A1430" s="6" t="str">
        <f>HYPERLINK("http://www.patentics.cn/invokexml.do?sx=showpatent_cn&amp;sf=ShowPatent&amp;spn=CN1917496&amp;sx=showpatent_cn&amp;sv=43dff7b6e2f6b403fe53405d0c68438a","CN1917496")</f>
        <v>CN1917496</v>
      </c>
      <c r="B1430" s="7" t="s">
        <v>7328</v>
      </c>
      <c r="C1430" s="7" t="s">
        <v>7329</v>
      </c>
      <c r="D1430" s="7" t="s">
        <v>1383</v>
      </c>
      <c r="E1430" s="7" t="s">
        <v>1383</v>
      </c>
      <c r="F1430" s="7" t="s">
        <v>7330</v>
      </c>
      <c r="G1430" s="7" t="s">
        <v>7331</v>
      </c>
      <c r="H1430" s="7" t="s">
        <v>7332</v>
      </c>
      <c r="I1430" s="7" t="s">
        <v>7332</v>
      </c>
      <c r="J1430" s="7" t="s">
        <v>7333</v>
      </c>
      <c r="K1430" s="7" t="s">
        <v>68</v>
      </c>
      <c r="L1430" s="7" t="s">
        <v>281</v>
      </c>
      <c r="M1430" s="7">
        <v>3</v>
      </c>
      <c r="N1430" s="7">
        <v>60</v>
      </c>
      <c r="O1430" s="7" t="s">
        <v>42</v>
      </c>
      <c r="P1430" s="7" t="s">
        <v>43</v>
      </c>
      <c r="Q1430" s="7">
        <v>0</v>
      </c>
      <c r="R1430" s="7">
        <v>0</v>
      </c>
      <c r="S1430" s="7">
        <v>0</v>
      </c>
      <c r="T1430" s="7">
        <v>0</v>
      </c>
      <c r="U1430" s="7">
        <v>5</v>
      </c>
      <c r="V1430" s="7" t="s">
        <v>7334</v>
      </c>
      <c r="W1430" s="7">
        <v>0</v>
      </c>
      <c r="X1430" s="7">
        <v>5</v>
      </c>
      <c r="Y1430" s="7">
        <v>4</v>
      </c>
      <c r="Z1430" s="7">
        <v>1</v>
      </c>
      <c r="AA1430" s="7">
        <v>1</v>
      </c>
      <c r="AB1430" s="7">
        <v>1</v>
      </c>
      <c r="AC1430" s="7" t="s">
        <v>0</v>
      </c>
      <c r="AD1430" s="7">
        <v>1</v>
      </c>
      <c r="AE1430" s="7" t="s">
        <v>532</v>
      </c>
    </row>
    <row r="1431" spans="1:31" ht="38.25" x14ac:dyDescent="0.2">
      <c r="A1431" s="8" t="str">
        <f>HYPERLINK("http://www.patentics.cn/invokexml.do?sx=showpatent_cn&amp;sf=ShowPatent&amp;spn=CN103546265B&amp;sx=showpatent_cn&amp;sv=b737d39e54bd79cf52e0efcaeb9c1d79","CN103546265B")</f>
        <v>CN103546265B</v>
      </c>
      <c r="B1431" s="9" t="s">
        <v>7335</v>
      </c>
      <c r="C1431" s="9" t="s">
        <v>7336</v>
      </c>
      <c r="D1431" s="9" t="s">
        <v>301</v>
      </c>
      <c r="E1431" s="9" t="s">
        <v>301</v>
      </c>
      <c r="F1431" s="9" t="s">
        <v>7337</v>
      </c>
      <c r="G1431" s="9" t="s">
        <v>7338</v>
      </c>
      <c r="H1431" s="9" t="s">
        <v>2817</v>
      </c>
      <c r="I1431" s="9" t="s">
        <v>7339</v>
      </c>
      <c r="J1431" s="9" t="s">
        <v>5622</v>
      </c>
      <c r="K1431" s="9" t="s">
        <v>68</v>
      </c>
      <c r="L1431" s="9" t="s">
        <v>3348</v>
      </c>
      <c r="M1431" s="9">
        <v>4</v>
      </c>
      <c r="N1431" s="9">
        <v>18</v>
      </c>
      <c r="O1431" s="9" t="s">
        <v>57</v>
      </c>
      <c r="P1431" s="9" t="s">
        <v>58</v>
      </c>
      <c r="Q1431" s="9">
        <v>5</v>
      </c>
      <c r="R1431" s="9">
        <v>0</v>
      </c>
      <c r="S1431" s="9">
        <v>5</v>
      </c>
      <c r="T1431" s="9">
        <v>4</v>
      </c>
      <c r="U1431" s="9">
        <v>0</v>
      </c>
      <c r="V1431" s="9" t="s">
        <v>114</v>
      </c>
      <c r="W1431" s="9">
        <v>0</v>
      </c>
      <c r="X1431" s="9">
        <v>0</v>
      </c>
      <c r="Y1431" s="9">
        <v>0</v>
      </c>
      <c r="Z1431" s="9">
        <v>0</v>
      </c>
      <c r="AA1431" s="9">
        <v>0</v>
      </c>
      <c r="AB1431" s="9">
        <v>0</v>
      </c>
      <c r="AC1431" s="9">
        <v>14</v>
      </c>
      <c r="AD1431" s="9" t="s">
        <v>0</v>
      </c>
      <c r="AE1431" s="9" t="s">
        <v>60</v>
      </c>
    </row>
    <row r="1432" spans="1:31" ht="25.5" x14ac:dyDescent="0.2">
      <c r="A1432" s="6" t="str">
        <f>HYPERLINK("http://www.patentics.cn/invokexml.do?sx=showpatent_cn&amp;sf=ShowPatent&amp;spn=CN1913574&amp;sx=showpatent_cn&amp;sv=356f1b701ebe223d6c57a01b1b172692","CN1913574")</f>
        <v>CN1913574</v>
      </c>
      <c r="B1432" s="7" t="s">
        <v>7340</v>
      </c>
      <c r="C1432" s="7" t="s">
        <v>7341</v>
      </c>
      <c r="D1432" s="7" t="s">
        <v>7342</v>
      </c>
      <c r="E1432" s="7" t="s">
        <v>7343</v>
      </c>
      <c r="F1432" s="7" t="s">
        <v>7344</v>
      </c>
      <c r="G1432" s="7" t="s">
        <v>7345</v>
      </c>
      <c r="H1432" s="7" t="s">
        <v>6508</v>
      </c>
      <c r="I1432" s="7" t="s">
        <v>6508</v>
      </c>
      <c r="J1432" s="7" t="s">
        <v>7346</v>
      </c>
      <c r="K1432" s="7" t="s">
        <v>714</v>
      </c>
      <c r="L1432" s="7" t="s">
        <v>7347</v>
      </c>
      <c r="M1432" s="7">
        <v>10</v>
      </c>
      <c r="N1432" s="7">
        <v>54</v>
      </c>
      <c r="O1432" s="7" t="s">
        <v>42</v>
      </c>
      <c r="P1432" s="7" t="s">
        <v>43</v>
      </c>
      <c r="Q1432" s="7">
        <v>3</v>
      </c>
      <c r="R1432" s="7">
        <v>3</v>
      </c>
      <c r="S1432" s="7">
        <v>0</v>
      </c>
      <c r="T1432" s="7">
        <v>1</v>
      </c>
      <c r="U1432" s="7">
        <v>10</v>
      </c>
      <c r="V1432" s="7" t="s">
        <v>7348</v>
      </c>
      <c r="W1432" s="7">
        <v>2</v>
      </c>
      <c r="X1432" s="7">
        <v>8</v>
      </c>
      <c r="Y1432" s="7">
        <v>4</v>
      </c>
      <c r="Z1432" s="7">
        <v>3</v>
      </c>
      <c r="AA1432" s="7">
        <v>2</v>
      </c>
      <c r="AB1432" s="7">
        <v>2</v>
      </c>
      <c r="AC1432" s="7" t="s">
        <v>0</v>
      </c>
      <c r="AD1432" s="7">
        <v>1</v>
      </c>
      <c r="AE1432" s="7" t="s">
        <v>60</v>
      </c>
    </row>
    <row r="1433" spans="1:31" ht="38.25" x14ac:dyDescent="0.2">
      <c r="A1433" s="8" t="str">
        <f>HYPERLINK("http://www.patentics.cn/invokexml.do?sx=showpatent_cn&amp;sf=ShowPatent&amp;spn=CN101828399B&amp;sx=showpatent_cn&amp;sv=d76a992c03dc2fb79c9cb06e08e7c5c9","CN101828399B")</f>
        <v>CN101828399B</v>
      </c>
      <c r="B1433" s="9" t="s">
        <v>7349</v>
      </c>
      <c r="C1433" s="9" t="s">
        <v>7350</v>
      </c>
      <c r="D1433" s="9" t="s">
        <v>301</v>
      </c>
      <c r="E1433" s="9" t="s">
        <v>301</v>
      </c>
      <c r="F1433" s="9" t="s">
        <v>7351</v>
      </c>
      <c r="G1433" s="9" t="s">
        <v>2891</v>
      </c>
      <c r="H1433" s="9" t="s">
        <v>1057</v>
      </c>
      <c r="I1433" s="9" t="s">
        <v>1831</v>
      </c>
      <c r="J1433" s="9" t="s">
        <v>3187</v>
      </c>
      <c r="K1433" s="9" t="s">
        <v>714</v>
      </c>
      <c r="L1433" s="9" t="s">
        <v>1346</v>
      </c>
      <c r="M1433" s="9">
        <v>29</v>
      </c>
      <c r="N1433" s="9">
        <v>23</v>
      </c>
      <c r="O1433" s="9" t="s">
        <v>57</v>
      </c>
      <c r="P1433" s="9" t="s">
        <v>58</v>
      </c>
      <c r="Q1433" s="9">
        <v>3</v>
      </c>
      <c r="R1433" s="9">
        <v>0</v>
      </c>
      <c r="S1433" s="9">
        <v>3</v>
      </c>
      <c r="T1433" s="9">
        <v>3</v>
      </c>
      <c r="U1433" s="9">
        <v>0</v>
      </c>
      <c r="V1433" s="9" t="s">
        <v>114</v>
      </c>
      <c r="W1433" s="9">
        <v>0</v>
      </c>
      <c r="X1433" s="9">
        <v>0</v>
      </c>
      <c r="Y1433" s="9">
        <v>0</v>
      </c>
      <c r="Z1433" s="9">
        <v>0</v>
      </c>
      <c r="AA1433" s="9">
        <v>12</v>
      </c>
      <c r="AB1433" s="9">
        <v>7</v>
      </c>
      <c r="AC1433" s="9">
        <v>14</v>
      </c>
      <c r="AD1433" s="9" t="s">
        <v>0</v>
      </c>
      <c r="AE1433" s="9" t="s">
        <v>60</v>
      </c>
    </row>
    <row r="1434" spans="1:31" ht="25.5" x14ac:dyDescent="0.2">
      <c r="A1434" s="6" t="str">
        <f>HYPERLINK("http://www.patentics.cn/invokexml.do?sx=showpatent_cn&amp;sf=ShowPatent&amp;spn=CN1889750&amp;sx=showpatent_cn&amp;sv=0a643727adc45d5f0083f7966470c7fb","CN1889750")</f>
        <v>CN1889750</v>
      </c>
      <c r="B1434" s="7" t="s">
        <v>7352</v>
      </c>
      <c r="C1434" s="7" t="s">
        <v>7353</v>
      </c>
      <c r="D1434" s="7" t="s">
        <v>6794</v>
      </c>
      <c r="E1434" s="7" t="s">
        <v>6794</v>
      </c>
      <c r="F1434" s="7" t="s">
        <v>7354</v>
      </c>
      <c r="G1434" s="7" t="s">
        <v>7355</v>
      </c>
      <c r="H1434" s="7" t="s">
        <v>7356</v>
      </c>
      <c r="I1434" s="7" t="s">
        <v>7356</v>
      </c>
      <c r="J1434" s="7" t="s">
        <v>4404</v>
      </c>
      <c r="K1434" s="7" t="s">
        <v>96</v>
      </c>
      <c r="L1434" s="7" t="s">
        <v>2811</v>
      </c>
      <c r="M1434" s="7">
        <v>9</v>
      </c>
      <c r="N1434" s="7">
        <v>26</v>
      </c>
      <c r="O1434" s="7" t="s">
        <v>42</v>
      </c>
      <c r="P1434" s="7" t="s">
        <v>43</v>
      </c>
      <c r="Q1434" s="7">
        <v>0</v>
      </c>
      <c r="R1434" s="7">
        <v>0</v>
      </c>
      <c r="S1434" s="7">
        <v>0</v>
      </c>
      <c r="T1434" s="7">
        <v>0</v>
      </c>
      <c r="U1434" s="7">
        <v>9</v>
      </c>
      <c r="V1434" s="7" t="s">
        <v>7357</v>
      </c>
      <c r="W1434" s="7">
        <v>0</v>
      </c>
      <c r="X1434" s="7">
        <v>9</v>
      </c>
      <c r="Y1434" s="7">
        <v>6</v>
      </c>
      <c r="Z1434" s="7">
        <v>3</v>
      </c>
      <c r="AA1434" s="7">
        <v>1</v>
      </c>
      <c r="AB1434" s="7">
        <v>1</v>
      </c>
      <c r="AC1434" s="7" t="s">
        <v>0</v>
      </c>
      <c r="AD1434" s="7">
        <v>1</v>
      </c>
      <c r="AE1434" s="7" t="s">
        <v>532</v>
      </c>
    </row>
    <row r="1435" spans="1:31" ht="76.5" x14ac:dyDescent="0.2">
      <c r="A1435" s="8" t="str">
        <f>HYPERLINK("http://www.patentics.cn/invokexml.do?sx=showpatent_cn&amp;sf=ShowPatent&amp;spn=US9560682&amp;sx=showpatent_cn&amp;sv=83e101e627ba9c0162ff07e4f8632d1d","US9560682")</f>
        <v>US9560682</v>
      </c>
      <c r="B1435" s="9" t="s">
        <v>6465</v>
      </c>
      <c r="C1435" s="9" t="s">
        <v>6466</v>
      </c>
      <c r="D1435" s="9" t="s">
        <v>48</v>
      </c>
      <c r="E1435" s="9" t="s">
        <v>49</v>
      </c>
      <c r="F1435" s="9" t="s">
        <v>6467</v>
      </c>
      <c r="G1435" s="9" t="s">
        <v>2930</v>
      </c>
      <c r="H1435" s="9" t="s">
        <v>5928</v>
      </c>
      <c r="I1435" s="9" t="s">
        <v>5928</v>
      </c>
      <c r="J1435" s="9" t="s">
        <v>1720</v>
      </c>
      <c r="K1435" s="9" t="s">
        <v>885</v>
      </c>
      <c r="L1435" s="9" t="s">
        <v>1014</v>
      </c>
      <c r="M1435" s="9">
        <v>50</v>
      </c>
      <c r="N1435" s="9">
        <v>12</v>
      </c>
      <c r="O1435" s="9" t="s">
        <v>57</v>
      </c>
      <c r="P1435" s="9" t="s">
        <v>58</v>
      </c>
      <c r="Q1435" s="9">
        <v>27</v>
      </c>
      <c r="R1435" s="9">
        <v>5</v>
      </c>
      <c r="S1435" s="9">
        <v>22</v>
      </c>
      <c r="T1435" s="9">
        <v>15</v>
      </c>
      <c r="U1435" s="9">
        <v>0</v>
      </c>
      <c r="V1435" s="9" t="s">
        <v>114</v>
      </c>
      <c r="W1435" s="9">
        <v>0</v>
      </c>
      <c r="X1435" s="9">
        <v>0</v>
      </c>
      <c r="Y1435" s="9">
        <v>0</v>
      </c>
      <c r="Z1435" s="9">
        <v>0</v>
      </c>
      <c r="AA1435" s="9">
        <v>8</v>
      </c>
      <c r="AB1435" s="9">
        <v>6</v>
      </c>
      <c r="AC1435" s="9">
        <v>14</v>
      </c>
      <c r="AD1435" s="9" t="s">
        <v>0</v>
      </c>
      <c r="AE1435" s="9" t="s">
        <v>60</v>
      </c>
    </row>
    <row r="1436" spans="1:31" ht="63.75" x14ac:dyDescent="0.2">
      <c r="A1436" s="6" t="str">
        <f>HYPERLINK("http://www.patentics.cn/invokexml.do?sx=showpatent_cn&amp;sf=ShowPatent&amp;spn=CN1889516&amp;sx=showpatent_cn&amp;sv=dd666c98e03a71bb792a8f9f3a4d927d","CN1889516")</f>
        <v>CN1889516</v>
      </c>
      <c r="B1436" s="7" t="s">
        <v>7358</v>
      </c>
      <c r="C1436" s="7" t="s">
        <v>7359</v>
      </c>
      <c r="D1436" s="7" t="s">
        <v>932</v>
      </c>
      <c r="E1436" s="7" t="s">
        <v>932</v>
      </c>
      <c r="F1436" s="7" t="s">
        <v>7360</v>
      </c>
      <c r="G1436" s="7" t="s">
        <v>7361</v>
      </c>
      <c r="H1436" s="7" t="s">
        <v>0</v>
      </c>
      <c r="I1436" s="7" t="s">
        <v>4363</v>
      </c>
      <c r="J1436" s="7" t="s">
        <v>4404</v>
      </c>
      <c r="K1436" s="7" t="s">
        <v>68</v>
      </c>
      <c r="L1436" s="7" t="s">
        <v>1946</v>
      </c>
      <c r="M1436" s="7">
        <v>10</v>
      </c>
      <c r="N1436" s="7">
        <v>43</v>
      </c>
      <c r="O1436" s="7" t="s">
        <v>42</v>
      </c>
      <c r="P1436" s="7" t="s">
        <v>43</v>
      </c>
      <c r="Q1436" s="7">
        <v>0</v>
      </c>
      <c r="R1436" s="7">
        <v>0</v>
      </c>
      <c r="S1436" s="7">
        <v>0</v>
      </c>
      <c r="T1436" s="7">
        <v>0</v>
      </c>
      <c r="U1436" s="7">
        <v>2</v>
      </c>
      <c r="V1436" s="7" t="s">
        <v>3882</v>
      </c>
      <c r="W1436" s="7">
        <v>0</v>
      </c>
      <c r="X1436" s="7">
        <v>2</v>
      </c>
      <c r="Y1436" s="7">
        <v>2</v>
      </c>
      <c r="Z1436" s="7">
        <v>1</v>
      </c>
      <c r="AA1436" s="7">
        <v>0</v>
      </c>
      <c r="AB1436" s="7">
        <v>0</v>
      </c>
      <c r="AC1436" s="7" t="s">
        <v>0</v>
      </c>
      <c r="AD1436" s="7">
        <v>1</v>
      </c>
      <c r="AE1436" s="7" t="s">
        <v>45</v>
      </c>
    </row>
    <row r="1437" spans="1:31" ht="89.25" x14ac:dyDescent="0.2">
      <c r="A1437" s="8" t="str">
        <f>HYPERLINK("http://www.patentics.cn/invokexml.do?sx=showpatent_cn&amp;sf=ShowPatent&amp;spn=CN102057733B&amp;sx=showpatent_cn&amp;sv=9822eca01241cbe3251fe8e2b7a1c098","CN102057733B")</f>
        <v>CN102057733B</v>
      </c>
      <c r="B1437" s="9" t="s">
        <v>7362</v>
      </c>
      <c r="C1437" s="9" t="s">
        <v>7363</v>
      </c>
      <c r="D1437" s="9" t="s">
        <v>301</v>
      </c>
      <c r="E1437" s="9" t="s">
        <v>301</v>
      </c>
      <c r="F1437" s="9" t="s">
        <v>7364</v>
      </c>
      <c r="G1437" s="9" t="s">
        <v>7365</v>
      </c>
      <c r="H1437" s="9" t="s">
        <v>7366</v>
      </c>
      <c r="I1437" s="9" t="s">
        <v>1351</v>
      </c>
      <c r="J1437" s="9" t="s">
        <v>5858</v>
      </c>
      <c r="K1437" s="9" t="s">
        <v>55</v>
      </c>
      <c r="L1437" s="9" t="s">
        <v>7367</v>
      </c>
      <c r="M1437" s="9">
        <v>22</v>
      </c>
      <c r="N1437" s="9">
        <v>18</v>
      </c>
      <c r="O1437" s="9" t="s">
        <v>57</v>
      </c>
      <c r="P1437" s="9" t="s">
        <v>58</v>
      </c>
      <c r="Q1437" s="9">
        <v>2</v>
      </c>
      <c r="R1437" s="9">
        <v>0</v>
      </c>
      <c r="S1437" s="9">
        <v>2</v>
      </c>
      <c r="T1437" s="9">
        <v>2</v>
      </c>
      <c r="U1437" s="9">
        <v>0</v>
      </c>
      <c r="V1437" s="9" t="s">
        <v>114</v>
      </c>
      <c r="W1437" s="9">
        <v>0</v>
      </c>
      <c r="X1437" s="9">
        <v>0</v>
      </c>
      <c r="Y1437" s="9">
        <v>0</v>
      </c>
      <c r="Z1437" s="9">
        <v>0</v>
      </c>
      <c r="AA1437" s="9">
        <v>10</v>
      </c>
      <c r="AB1437" s="9">
        <v>7</v>
      </c>
      <c r="AC1437" s="9">
        <v>14</v>
      </c>
      <c r="AD1437" s="9" t="s">
        <v>0</v>
      </c>
      <c r="AE1437" s="9" t="s">
        <v>532</v>
      </c>
    </row>
    <row r="1438" spans="1:31" ht="38.25" x14ac:dyDescent="0.2">
      <c r="A1438" s="6" t="str">
        <f>HYPERLINK("http://www.patentics.cn/invokexml.do?sx=showpatent_cn&amp;sf=ShowPatent&amp;spn=CN1874516&amp;sx=showpatent_cn&amp;sv=2fb194cca1b8c8a36977a864362ec8f3","CN1874516")</f>
        <v>CN1874516</v>
      </c>
      <c r="B1438" s="7" t="s">
        <v>7368</v>
      </c>
      <c r="C1438" s="7" t="s">
        <v>7369</v>
      </c>
      <c r="D1438" s="7" t="s">
        <v>1341</v>
      </c>
      <c r="E1438" s="7" t="s">
        <v>1341</v>
      </c>
      <c r="F1438" s="7" t="s">
        <v>7370</v>
      </c>
      <c r="G1438" s="7" t="s">
        <v>7371</v>
      </c>
      <c r="H1438" s="7" t="s">
        <v>7372</v>
      </c>
      <c r="I1438" s="7" t="s">
        <v>7372</v>
      </c>
      <c r="J1438" s="7" t="s">
        <v>7373</v>
      </c>
      <c r="K1438" s="7" t="s">
        <v>714</v>
      </c>
      <c r="L1438" s="7" t="s">
        <v>1388</v>
      </c>
      <c r="M1438" s="7">
        <v>8</v>
      </c>
      <c r="N1438" s="7">
        <v>42</v>
      </c>
      <c r="O1438" s="7" t="s">
        <v>42</v>
      </c>
      <c r="P1438" s="7" t="s">
        <v>43</v>
      </c>
      <c r="Q1438" s="7">
        <v>0</v>
      </c>
      <c r="R1438" s="7">
        <v>0</v>
      </c>
      <c r="S1438" s="7">
        <v>0</v>
      </c>
      <c r="T1438" s="7">
        <v>0</v>
      </c>
      <c r="U1438" s="7">
        <v>8</v>
      </c>
      <c r="V1438" s="7" t="s">
        <v>3064</v>
      </c>
      <c r="W1438" s="7">
        <v>2</v>
      </c>
      <c r="X1438" s="7">
        <v>6</v>
      </c>
      <c r="Y1438" s="7">
        <v>6</v>
      </c>
      <c r="Z1438" s="7">
        <v>1</v>
      </c>
      <c r="AA1438" s="7">
        <v>1</v>
      </c>
      <c r="AB1438" s="7">
        <v>1</v>
      </c>
      <c r="AC1438" s="7" t="s">
        <v>0</v>
      </c>
      <c r="AD1438" s="7">
        <v>1</v>
      </c>
      <c r="AE1438" s="7" t="s">
        <v>532</v>
      </c>
    </row>
    <row r="1439" spans="1:31" ht="38.25" x14ac:dyDescent="0.2">
      <c r="A1439" s="8" t="str">
        <f>HYPERLINK("http://www.patentics.cn/invokexml.do?sx=showpatent_cn&amp;sf=ShowPatent&amp;spn=CN101822054B&amp;sx=showpatent_cn&amp;sv=bfacfc8652293cf4d3ad04b5835ba22c","CN101822054B")</f>
        <v>CN101822054B</v>
      </c>
      <c r="B1439" s="9" t="s">
        <v>7374</v>
      </c>
      <c r="C1439" s="9" t="s">
        <v>7375</v>
      </c>
      <c r="D1439" s="9" t="s">
        <v>301</v>
      </c>
      <c r="E1439" s="9" t="s">
        <v>301</v>
      </c>
      <c r="F1439" s="9" t="s">
        <v>7376</v>
      </c>
      <c r="G1439" s="9" t="s">
        <v>4521</v>
      </c>
      <c r="H1439" s="9" t="s">
        <v>1945</v>
      </c>
      <c r="I1439" s="9" t="s">
        <v>572</v>
      </c>
      <c r="J1439" s="9" t="s">
        <v>3942</v>
      </c>
      <c r="K1439" s="9" t="s">
        <v>714</v>
      </c>
      <c r="L1439" s="9" t="s">
        <v>1346</v>
      </c>
      <c r="M1439" s="9">
        <v>10</v>
      </c>
      <c r="N1439" s="9">
        <v>24</v>
      </c>
      <c r="O1439" s="9" t="s">
        <v>57</v>
      </c>
      <c r="P1439" s="9" t="s">
        <v>58</v>
      </c>
      <c r="Q1439" s="9">
        <v>4</v>
      </c>
      <c r="R1439" s="9">
        <v>2</v>
      </c>
      <c r="S1439" s="9">
        <v>2</v>
      </c>
      <c r="T1439" s="9">
        <v>3</v>
      </c>
      <c r="U1439" s="9">
        <v>0</v>
      </c>
      <c r="V1439" s="9" t="s">
        <v>114</v>
      </c>
      <c r="W1439" s="9">
        <v>0</v>
      </c>
      <c r="X1439" s="9">
        <v>0</v>
      </c>
      <c r="Y1439" s="9">
        <v>0</v>
      </c>
      <c r="Z1439" s="9">
        <v>0</v>
      </c>
      <c r="AA1439" s="9">
        <v>16</v>
      </c>
      <c r="AB1439" s="9">
        <v>11</v>
      </c>
      <c r="AC1439" s="9">
        <v>14</v>
      </c>
      <c r="AD1439" s="9" t="s">
        <v>0</v>
      </c>
      <c r="AE1439" s="9" t="s">
        <v>60</v>
      </c>
    </row>
    <row r="1440" spans="1:31" x14ac:dyDescent="0.2">
      <c r="A1440" s="6" t="str">
        <f>HYPERLINK("http://www.patentics.cn/invokexml.do?sx=showpatent_cn&amp;sf=ShowPatent&amp;spn=CN1866796&amp;sx=showpatent_cn&amp;sv=3a42b696cecbd9c793d548feb699bb6b","CN1866796")</f>
        <v>CN1866796</v>
      </c>
      <c r="B1440" s="7" t="s">
        <v>7377</v>
      </c>
      <c r="C1440" s="7" t="s">
        <v>7378</v>
      </c>
      <c r="D1440" s="7" t="s">
        <v>7379</v>
      </c>
      <c r="E1440" s="7" t="s">
        <v>7379</v>
      </c>
      <c r="F1440" s="7" t="s">
        <v>7380</v>
      </c>
      <c r="G1440" s="7" t="s">
        <v>7380</v>
      </c>
      <c r="H1440" s="7" t="s">
        <v>66</v>
      </c>
      <c r="I1440" s="7" t="s">
        <v>66</v>
      </c>
      <c r="J1440" s="7" t="s">
        <v>7381</v>
      </c>
      <c r="K1440" s="7" t="s">
        <v>89</v>
      </c>
      <c r="L1440" s="7" t="s">
        <v>7382</v>
      </c>
      <c r="M1440" s="7">
        <v>10</v>
      </c>
      <c r="N1440" s="7">
        <v>12</v>
      </c>
      <c r="O1440" s="7" t="s">
        <v>42</v>
      </c>
      <c r="P1440" s="7" t="s">
        <v>43</v>
      </c>
      <c r="Q1440" s="7">
        <v>0</v>
      </c>
      <c r="R1440" s="7">
        <v>0</v>
      </c>
      <c r="S1440" s="7">
        <v>0</v>
      </c>
      <c r="T1440" s="7">
        <v>0</v>
      </c>
      <c r="U1440" s="7">
        <v>2</v>
      </c>
      <c r="V1440" s="7" t="s">
        <v>1767</v>
      </c>
      <c r="W1440" s="7">
        <v>0</v>
      </c>
      <c r="X1440" s="7">
        <v>2</v>
      </c>
      <c r="Y1440" s="7">
        <v>2</v>
      </c>
      <c r="Z1440" s="7">
        <v>1</v>
      </c>
      <c r="AA1440" s="7">
        <v>1</v>
      </c>
      <c r="AB1440" s="7">
        <v>1</v>
      </c>
      <c r="AC1440" s="7" t="s">
        <v>0</v>
      </c>
      <c r="AD1440" s="7">
        <v>1</v>
      </c>
      <c r="AE1440" s="7" t="s">
        <v>60</v>
      </c>
    </row>
    <row r="1441" spans="1:31" ht="51" x14ac:dyDescent="0.2">
      <c r="A1441" s="8" t="str">
        <f>HYPERLINK("http://www.patentics.cn/invokexml.do?sx=showpatent_cn&amp;sf=ShowPatent&amp;spn=CN104823391B&amp;sx=showpatent_cn&amp;sv=d96a950831fc96c44be6abb652fd63c0","CN104823391B")</f>
        <v>CN104823391B</v>
      </c>
      <c r="B1441" s="9" t="s">
        <v>7383</v>
      </c>
      <c r="C1441" s="9" t="s">
        <v>7384</v>
      </c>
      <c r="D1441" s="9" t="s">
        <v>301</v>
      </c>
      <c r="E1441" s="9" t="s">
        <v>301</v>
      </c>
      <c r="F1441" s="9" t="s">
        <v>7385</v>
      </c>
      <c r="G1441" s="9" t="s">
        <v>7386</v>
      </c>
      <c r="H1441" s="9" t="s">
        <v>7387</v>
      </c>
      <c r="I1441" s="9" t="s">
        <v>1312</v>
      </c>
      <c r="J1441" s="9" t="s">
        <v>6527</v>
      </c>
      <c r="K1441" s="9" t="s">
        <v>89</v>
      </c>
      <c r="L1441" s="9" t="s">
        <v>7388</v>
      </c>
      <c r="M1441" s="9">
        <v>28</v>
      </c>
      <c r="N1441" s="9">
        <v>20</v>
      </c>
      <c r="O1441" s="9" t="s">
        <v>57</v>
      </c>
      <c r="P1441" s="9" t="s">
        <v>58</v>
      </c>
      <c r="Q1441" s="9">
        <v>6</v>
      </c>
      <c r="R1441" s="9">
        <v>0</v>
      </c>
      <c r="S1441" s="9">
        <v>6</v>
      </c>
      <c r="T1441" s="9">
        <v>4</v>
      </c>
      <c r="U1441" s="9">
        <v>0</v>
      </c>
      <c r="V1441" s="9" t="s">
        <v>114</v>
      </c>
      <c r="W1441" s="9">
        <v>0</v>
      </c>
      <c r="X1441" s="9">
        <v>0</v>
      </c>
      <c r="Y1441" s="9">
        <v>0</v>
      </c>
      <c r="Z1441" s="9">
        <v>0</v>
      </c>
      <c r="AA1441" s="9">
        <v>0</v>
      </c>
      <c r="AB1441" s="9">
        <v>0</v>
      </c>
      <c r="AC1441" s="9">
        <v>14</v>
      </c>
      <c r="AD1441" s="9" t="s">
        <v>0</v>
      </c>
      <c r="AE1441" s="9" t="s">
        <v>60</v>
      </c>
    </row>
    <row r="1442" spans="1:31" ht="25.5" x14ac:dyDescent="0.2">
      <c r="A1442" s="6" t="str">
        <f>HYPERLINK("http://www.patentics.cn/invokexml.do?sx=showpatent_cn&amp;sf=ShowPatent&amp;spn=CN1862273&amp;sx=showpatent_cn&amp;sv=14fd16a229dfed3779a5534cd250693e","CN1862273")</f>
        <v>CN1862273</v>
      </c>
      <c r="B1442" s="7" t="s">
        <v>7389</v>
      </c>
      <c r="C1442" s="7" t="s">
        <v>7390</v>
      </c>
      <c r="D1442" s="7" t="s">
        <v>5861</v>
      </c>
      <c r="E1442" s="7" t="s">
        <v>1225</v>
      </c>
      <c r="F1442" s="7" t="s">
        <v>7391</v>
      </c>
      <c r="G1442" s="7" t="s">
        <v>7391</v>
      </c>
      <c r="H1442" s="7" t="s">
        <v>4250</v>
      </c>
      <c r="I1442" s="7" t="s">
        <v>4250</v>
      </c>
      <c r="J1442" s="7" t="s">
        <v>4209</v>
      </c>
      <c r="K1442" s="7" t="s">
        <v>2217</v>
      </c>
      <c r="L1442" s="7" t="s">
        <v>3211</v>
      </c>
      <c r="M1442" s="7">
        <v>9</v>
      </c>
      <c r="N1442" s="7">
        <v>34</v>
      </c>
      <c r="O1442" s="7" t="s">
        <v>42</v>
      </c>
      <c r="P1442" s="7" t="s">
        <v>43</v>
      </c>
      <c r="Q1442" s="7">
        <v>0</v>
      </c>
      <c r="R1442" s="7">
        <v>0</v>
      </c>
      <c r="S1442" s="7">
        <v>0</v>
      </c>
      <c r="T1442" s="7">
        <v>0</v>
      </c>
      <c r="U1442" s="7">
        <v>4</v>
      </c>
      <c r="V1442" s="7" t="s">
        <v>7334</v>
      </c>
      <c r="W1442" s="7">
        <v>0</v>
      </c>
      <c r="X1442" s="7">
        <v>4</v>
      </c>
      <c r="Y1442" s="7">
        <v>4</v>
      </c>
      <c r="Z1442" s="7">
        <v>1</v>
      </c>
      <c r="AA1442" s="7">
        <v>1</v>
      </c>
      <c r="AB1442" s="7">
        <v>1</v>
      </c>
      <c r="AC1442" s="7" t="s">
        <v>0</v>
      </c>
      <c r="AD1442" s="7">
        <v>1</v>
      </c>
      <c r="AE1442" s="7" t="s">
        <v>532</v>
      </c>
    </row>
    <row r="1443" spans="1:31" ht="25.5" x14ac:dyDescent="0.2">
      <c r="A1443" s="8" t="str">
        <f>HYPERLINK("http://www.patentics.cn/invokexml.do?sx=showpatent_cn&amp;sf=ShowPatent&amp;spn=CN104054263B&amp;sx=showpatent_cn&amp;sv=b086d0b06ea0673d5d37a8193f647c7a","CN104054263B")</f>
        <v>CN104054263B</v>
      </c>
      <c r="B1443" s="9" t="s">
        <v>7392</v>
      </c>
      <c r="C1443" s="9" t="s">
        <v>7393</v>
      </c>
      <c r="D1443" s="9" t="s">
        <v>301</v>
      </c>
      <c r="E1443" s="9" t="s">
        <v>301</v>
      </c>
      <c r="F1443" s="9" t="s">
        <v>7394</v>
      </c>
      <c r="G1443" s="9" t="s">
        <v>7395</v>
      </c>
      <c r="H1443" s="9" t="s">
        <v>3361</v>
      </c>
      <c r="I1443" s="9" t="s">
        <v>7396</v>
      </c>
      <c r="J1443" s="9" t="s">
        <v>7397</v>
      </c>
      <c r="K1443" s="9" t="s">
        <v>368</v>
      </c>
      <c r="L1443" s="9" t="s">
        <v>7398</v>
      </c>
      <c r="M1443" s="9">
        <v>14</v>
      </c>
      <c r="N1443" s="9">
        <v>11</v>
      </c>
      <c r="O1443" s="9" t="s">
        <v>57</v>
      </c>
      <c r="P1443" s="9" t="s">
        <v>58</v>
      </c>
      <c r="Q1443" s="9">
        <v>5</v>
      </c>
      <c r="R1443" s="9">
        <v>0</v>
      </c>
      <c r="S1443" s="9">
        <v>5</v>
      </c>
      <c r="T1443" s="9">
        <v>5</v>
      </c>
      <c r="U1443" s="9">
        <v>0</v>
      </c>
      <c r="V1443" s="9" t="s">
        <v>114</v>
      </c>
      <c r="W1443" s="9">
        <v>0</v>
      </c>
      <c r="X1443" s="9">
        <v>0</v>
      </c>
      <c r="Y1443" s="9">
        <v>0</v>
      </c>
      <c r="Z1443" s="9">
        <v>0</v>
      </c>
      <c r="AA1443" s="9">
        <v>0</v>
      </c>
      <c r="AB1443" s="9">
        <v>0</v>
      </c>
      <c r="AC1443" s="9">
        <v>14</v>
      </c>
      <c r="AD1443" s="9" t="s">
        <v>0</v>
      </c>
      <c r="AE1443" s="9" t="s">
        <v>60</v>
      </c>
    </row>
    <row r="1444" spans="1:31" ht="63.75" x14ac:dyDescent="0.2">
      <c r="A1444" s="6" t="str">
        <f>HYPERLINK("http://www.patentics.cn/invokexml.do?sx=showpatent_cn&amp;sf=ShowPatent&amp;spn=CN2836373&amp;sx=showpatent_cn&amp;sv=68806f9ded44d8671cef820c09a68093","CN2836373")</f>
        <v>CN2836373</v>
      </c>
      <c r="B1444" s="7" t="s">
        <v>7399</v>
      </c>
      <c r="C1444" s="7" t="s">
        <v>7400</v>
      </c>
      <c r="D1444" s="7" t="s">
        <v>309</v>
      </c>
      <c r="E1444" s="7" t="s">
        <v>309</v>
      </c>
      <c r="F1444" s="7" t="s">
        <v>7401</v>
      </c>
      <c r="G1444" s="7" t="s">
        <v>7402</v>
      </c>
      <c r="H1444" s="7" t="s">
        <v>0</v>
      </c>
      <c r="I1444" s="7" t="s">
        <v>7403</v>
      </c>
      <c r="J1444" s="7" t="s">
        <v>7404</v>
      </c>
      <c r="K1444" s="7" t="s">
        <v>714</v>
      </c>
      <c r="L1444" s="7" t="s">
        <v>7405</v>
      </c>
      <c r="M1444" s="7">
        <v>3</v>
      </c>
      <c r="N1444" s="7">
        <v>37</v>
      </c>
      <c r="O1444" s="7" t="s">
        <v>2185</v>
      </c>
      <c r="P1444" s="7" t="s">
        <v>43</v>
      </c>
      <c r="Q1444" s="7">
        <v>0</v>
      </c>
      <c r="R1444" s="7">
        <v>0</v>
      </c>
      <c r="S1444" s="7">
        <v>0</v>
      </c>
      <c r="T1444" s="7">
        <v>0</v>
      </c>
      <c r="U1444" s="7">
        <v>1</v>
      </c>
      <c r="V1444" s="7" t="s">
        <v>78</v>
      </c>
      <c r="W1444" s="7">
        <v>0</v>
      </c>
      <c r="X1444" s="7">
        <v>1</v>
      </c>
      <c r="Y1444" s="7">
        <v>1</v>
      </c>
      <c r="Z1444" s="7">
        <v>1</v>
      </c>
      <c r="AA1444" s="7">
        <v>0</v>
      </c>
      <c r="AB1444" s="7">
        <v>0</v>
      </c>
      <c r="AC1444" s="7" t="s">
        <v>0</v>
      </c>
      <c r="AD1444" s="7">
        <v>1</v>
      </c>
      <c r="AE1444" s="7" t="s">
        <v>532</v>
      </c>
    </row>
    <row r="1445" spans="1:31" ht="38.25" x14ac:dyDescent="0.2">
      <c r="A1445" s="8" t="str">
        <f>HYPERLINK("http://www.patentics.cn/invokexml.do?sx=showpatent_cn&amp;sf=ShowPatent&amp;spn=CN103825606B&amp;sx=showpatent_cn&amp;sv=129b715a3340c32cb82de7a4d7dea5df","CN103825606B")</f>
        <v>CN103825606B</v>
      </c>
      <c r="B1445" s="9" t="s">
        <v>7406</v>
      </c>
      <c r="C1445" s="9" t="s">
        <v>7407</v>
      </c>
      <c r="D1445" s="9" t="s">
        <v>301</v>
      </c>
      <c r="E1445" s="9" t="s">
        <v>301</v>
      </c>
      <c r="F1445" s="9" t="s">
        <v>7408</v>
      </c>
      <c r="G1445" s="9" t="s">
        <v>7409</v>
      </c>
      <c r="H1445" s="9" t="s">
        <v>1115</v>
      </c>
      <c r="I1445" s="9" t="s">
        <v>7410</v>
      </c>
      <c r="J1445" s="9" t="s">
        <v>7169</v>
      </c>
      <c r="K1445" s="9" t="s">
        <v>2207</v>
      </c>
      <c r="L1445" s="9" t="s">
        <v>7411</v>
      </c>
      <c r="M1445" s="9">
        <v>14</v>
      </c>
      <c r="N1445" s="9">
        <v>32</v>
      </c>
      <c r="O1445" s="9" t="s">
        <v>57</v>
      </c>
      <c r="P1445" s="9" t="s">
        <v>58</v>
      </c>
      <c r="Q1445" s="9">
        <v>5</v>
      </c>
      <c r="R1445" s="9">
        <v>0</v>
      </c>
      <c r="S1445" s="9">
        <v>5</v>
      </c>
      <c r="T1445" s="9">
        <v>4</v>
      </c>
      <c r="U1445" s="9">
        <v>0</v>
      </c>
      <c r="V1445" s="9" t="s">
        <v>114</v>
      </c>
      <c r="W1445" s="9">
        <v>0</v>
      </c>
      <c r="X1445" s="9">
        <v>0</v>
      </c>
      <c r="Y1445" s="9">
        <v>0</v>
      </c>
      <c r="Z1445" s="9">
        <v>0</v>
      </c>
      <c r="AA1445" s="9">
        <v>0</v>
      </c>
      <c r="AB1445" s="9">
        <v>0</v>
      </c>
      <c r="AC1445" s="9">
        <v>14</v>
      </c>
      <c r="AD1445" s="9" t="s">
        <v>0</v>
      </c>
      <c r="AE1445" s="9" t="s">
        <v>60</v>
      </c>
    </row>
    <row r="1446" spans="1:31" ht="38.25" x14ac:dyDescent="0.2">
      <c r="A1446" s="6" t="str">
        <f>HYPERLINK("http://www.patentics.cn/invokexml.do?sx=showpatent_cn&amp;sf=ShowPatent&amp;spn=CN1858722&amp;sx=showpatent_cn&amp;sv=c290f23fd5ff9b5f141b0a57f4bf9ab6","CN1858722")</f>
        <v>CN1858722</v>
      </c>
      <c r="B1446" s="7" t="s">
        <v>7412</v>
      </c>
      <c r="C1446" s="7" t="s">
        <v>7413</v>
      </c>
      <c r="D1446" s="7" t="s">
        <v>1383</v>
      </c>
      <c r="E1446" s="7" t="s">
        <v>1383</v>
      </c>
      <c r="F1446" s="7" t="s">
        <v>7414</v>
      </c>
      <c r="G1446" s="7" t="s">
        <v>7415</v>
      </c>
      <c r="H1446" s="7" t="s">
        <v>7416</v>
      </c>
      <c r="I1446" s="7" t="s">
        <v>7416</v>
      </c>
      <c r="J1446" s="7" t="s">
        <v>7404</v>
      </c>
      <c r="K1446" s="7" t="s">
        <v>885</v>
      </c>
      <c r="L1446" s="7" t="s">
        <v>7417</v>
      </c>
      <c r="M1446" s="7">
        <v>2</v>
      </c>
      <c r="N1446" s="7">
        <v>81</v>
      </c>
      <c r="O1446" s="7" t="s">
        <v>42</v>
      </c>
      <c r="P1446" s="7" t="s">
        <v>43</v>
      </c>
      <c r="Q1446" s="7">
        <v>0</v>
      </c>
      <c r="R1446" s="7">
        <v>0</v>
      </c>
      <c r="S1446" s="7">
        <v>0</v>
      </c>
      <c r="T1446" s="7">
        <v>0</v>
      </c>
      <c r="U1446" s="7">
        <v>7</v>
      </c>
      <c r="V1446" s="7" t="s">
        <v>7418</v>
      </c>
      <c r="W1446" s="7">
        <v>0</v>
      </c>
      <c r="X1446" s="7">
        <v>7</v>
      </c>
      <c r="Y1446" s="7">
        <v>3</v>
      </c>
      <c r="Z1446" s="7">
        <v>2</v>
      </c>
      <c r="AA1446" s="7">
        <v>1</v>
      </c>
      <c r="AB1446" s="7">
        <v>1</v>
      </c>
      <c r="AC1446" s="7" t="s">
        <v>0</v>
      </c>
      <c r="AD1446" s="7">
        <v>1</v>
      </c>
      <c r="AE1446" s="7" t="s">
        <v>532</v>
      </c>
    </row>
    <row r="1447" spans="1:31" ht="51" x14ac:dyDescent="0.2">
      <c r="A1447" s="8" t="str">
        <f>HYPERLINK("http://www.patentics.cn/invokexml.do?sx=showpatent_cn&amp;sf=ShowPatent&amp;spn=CN101939915B&amp;sx=showpatent_cn&amp;sv=11cd414deaa49c0676dc1c1516a21b14","CN101939915B")</f>
        <v>CN101939915B</v>
      </c>
      <c r="B1447" s="9" t="s">
        <v>7419</v>
      </c>
      <c r="C1447" s="9" t="s">
        <v>7420</v>
      </c>
      <c r="D1447" s="9" t="s">
        <v>301</v>
      </c>
      <c r="E1447" s="9" t="s">
        <v>301</v>
      </c>
      <c r="F1447" s="9" t="s">
        <v>7421</v>
      </c>
      <c r="G1447" s="9" t="s">
        <v>7422</v>
      </c>
      <c r="H1447" s="9" t="s">
        <v>6858</v>
      </c>
      <c r="I1447" s="9" t="s">
        <v>1345</v>
      </c>
      <c r="J1447" s="9" t="s">
        <v>1233</v>
      </c>
      <c r="K1447" s="9" t="s">
        <v>885</v>
      </c>
      <c r="L1447" s="9" t="s">
        <v>1080</v>
      </c>
      <c r="M1447" s="9">
        <v>23</v>
      </c>
      <c r="N1447" s="9">
        <v>20</v>
      </c>
      <c r="O1447" s="9" t="s">
        <v>57</v>
      </c>
      <c r="P1447" s="9" t="s">
        <v>58</v>
      </c>
      <c r="Q1447" s="9">
        <v>3</v>
      </c>
      <c r="R1447" s="9">
        <v>0</v>
      </c>
      <c r="S1447" s="9">
        <v>3</v>
      </c>
      <c r="T1447" s="9">
        <v>3</v>
      </c>
      <c r="U1447" s="9">
        <v>0</v>
      </c>
      <c r="V1447" s="9" t="s">
        <v>114</v>
      </c>
      <c r="W1447" s="9">
        <v>0</v>
      </c>
      <c r="X1447" s="9">
        <v>0</v>
      </c>
      <c r="Y1447" s="9">
        <v>0</v>
      </c>
      <c r="Z1447" s="9">
        <v>0</v>
      </c>
      <c r="AA1447" s="9">
        <v>0</v>
      </c>
      <c r="AB1447" s="9">
        <v>0</v>
      </c>
      <c r="AC1447" s="9">
        <v>14</v>
      </c>
      <c r="AD1447" s="9" t="s">
        <v>0</v>
      </c>
      <c r="AE1447" s="9" t="s">
        <v>60</v>
      </c>
    </row>
    <row r="1448" spans="1:31" ht="25.5" x14ac:dyDescent="0.2">
      <c r="A1448" s="6" t="str">
        <f>HYPERLINK("http://www.patentics.cn/invokexml.do?sx=showpatent_cn&amp;sf=ShowPatent&amp;spn=CN1835587&amp;sx=showpatent_cn&amp;sv=30c575405975cc5eec964b5acd770c68","CN1835587")</f>
        <v>CN1835587</v>
      </c>
      <c r="B1448" s="7" t="s">
        <v>7423</v>
      </c>
      <c r="C1448" s="7" t="s">
        <v>7424</v>
      </c>
      <c r="D1448" s="7" t="s">
        <v>1341</v>
      </c>
      <c r="E1448" s="7" t="s">
        <v>1341</v>
      </c>
      <c r="F1448" s="7" t="s">
        <v>7425</v>
      </c>
      <c r="G1448" s="7" t="s">
        <v>7426</v>
      </c>
      <c r="H1448" s="7" t="s">
        <v>637</v>
      </c>
      <c r="I1448" s="7" t="s">
        <v>637</v>
      </c>
      <c r="J1448" s="7" t="s">
        <v>7427</v>
      </c>
      <c r="K1448" s="7" t="s">
        <v>714</v>
      </c>
      <c r="L1448" s="7" t="s">
        <v>1643</v>
      </c>
      <c r="M1448" s="7">
        <v>10</v>
      </c>
      <c r="N1448" s="7">
        <v>21</v>
      </c>
      <c r="O1448" s="7" t="s">
        <v>42</v>
      </c>
      <c r="P1448" s="7" t="s">
        <v>43</v>
      </c>
      <c r="Q1448" s="7">
        <v>0</v>
      </c>
      <c r="R1448" s="7">
        <v>0</v>
      </c>
      <c r="S1448" s="7">
        <v>0</v>
      </c>
      <c r="T1448" s="7">
        <v>0</v>
      </c>
      <c r="U1448" s="7">
        <v>5</v>
      </c>
      <c r="V1448" s="7" t="s">
        <v>7428</v>
      </c>
      <c r="W1448" s="7">
        <v>0</v>
      </c>
      <c r="X1448" s="7">
        <v>5</v>
      </c>
      <c r="Y1448" s="7">
        <v>4</v>
      </c>
      <c r="Z1448" s="7">
        <v>1</v>
      </c>
      <c r="AA1448" s="7">
        <v>1</v>
      </c>
      <c r="AB1448" s="7">
        <v>1</v>
      </c>
      <c r="AC1448" s="7" t="s">
        <v>0</v>
      </c>
      <c r="AD1448" s="7">
        <v>1</v>
      </c>
      <c r="AE1448" s="7" t="s">
        <v>532</v>
      </c>
    </row>
    <row r="1449" spans="1:31" ht="63.75" x14ac:dyDescent="0.2">
      <c r="A1449" s="8" t="str">
        <f>HYPERLINK("http://www.patentics.cn/invokexml.do?sx=showpatent_cn&amp;sf=ShowPatent&amp;spn=CN104536555B&amp;sx=showpatent_cn&amp;sv=0267978bfd495a58f370bed6d88de53f","CN104536555B")</f>
        <v>CN104536555B</v>
      </c>
      <c r="B1449" s="9" t="s">
        <v>7429</v>
      </c>
      <c r="C1449" s="9" t="s">
        <v>7430</v>
      </c>
      <c r="D1449" s="9" t="s">
        <v>301</v>
      </c>
      <c r="E1449" s="9" t="s">
        <v>301</v>
      </c>
      <c r="F1449" s="9" t="s">
        <v>7431</v>
      </c>
      <c r="G1449" s="9" t="s">
        <v>7432</v>
      </c>
      <c r="H1449" s="9" t="s">
        <v>3700</v>
      </c>
      <c r="I1449" s="9" t="s">
        <v>1960</v>
      </c>
      <c r="J1449" s="9" t="s">
        <v>1877</v>
      </c>
      <c r="K1449" s="9" t="s">
        <v>885</v>
      </c>
      <c r="L1449" s="9" t="s">
        <v>1080</v>
      </c>
      <c r="M1449" s="9">
        <v>41</v>
      </c>
      <c r="N1449" s="9">
        <v>20</v>
      </c>
      <c r="O1449" s="9" t="s">
        <v>57</v>
      </c>
      <c r="P1449" s="9" t="s">
        <v>58</v>
      </c>
      <c r="Q1449" s="9">
        <v>5</v>
      </c>
      <c r="R1449" s="9">
        <v>1</v>
      </c>
      <c r="S1449" s="9">
        <v>4</v>
      </c>
      <c r="T1449" s="9">
        <v>5</v>
      </c>
      <c r="U1449" s="9">
        <v>0</v>
      </c>
      <c r="V1449" s="9" t="s">
        <v>114</v>
      </c>
      <c r="W1449" s="9">
        <v>0</v>
      </c>
      <c r="X1449" s="9">
        <v>0</v>
      </c>
      <c r="Y1449" s="9">
        <v>0</v>
      </c>
      <c r="Z1449" s="9">
        <v>0</v>
      </c>
      <c r="AA1449" s="9">
        <v>16</v>
      </c>
      <c r="AB1449" s="9">
        <v>6</v>
      </c>
      <c r="AC1449" s="9">
        <v>14</v>
      </c>
      <c r="AD1449" s="9" t="s">
        <v>0</v>
      </c>
      <c r="AE1449" s="9" t="s">
        <v>60</v>
      </c>
    </row>
    <row r="1450" spans="1:31" ht="51" x14ac:dyDescent="0.2">
      <c r="A1450" s="6" t="str">
        <f>HYPERLINK("http://www.patentics.cn/invokexml.do?sx=showpatent_cn&amp;sf=ShowPatent&amp;spn=CN1835484&amp;sx=showpatent_cn&amp;sv=a504a2c8dfe5713fbbd67785a092ca4b","CN1835484")</f>
        <v>CN1835484</v>
      </c>
      <c r="B1450" s="7" t="s">
        <v>7433</v>
      </c>
      <c r="C1450" s="7" t="s">
        <v>7434</v>
      </c>
      <c r="D1450" s="7" t="s">
        <v>6042</v>
      </c>
      <c r="E1450" s="7" t="s">
        <v>6042</v>
      </c>
      <c r="F1450" s="7" t="s">
        <v>7435</v>
      </c>
      <c r="G1450" s="7" t="s">
        <v>7436</v>
      </c>
      <c r="H1450" s="7" t="s">
        <v>7437</v>
      </c>
      <c r="I1450" s="7" t="s">
        <v>7437</v>
      </c>
      <c r="J1450" s="7" t="s">
        <v>7427</v>
      </c>
      <c r="K1450" s="7" t="s">
        <v>68</v>
      </c>
      <c r="L1450" s="7" t="s">
        <v>428</v>
      </c>
      <c r="M1450" s="7">
        <v>3</v>
      </c>
      <c r="N1450" s="7">
        <v>25</v>
      </c>
      <c r="O1450" s="7" t="s">
        <v>42</v>
      </c>
      <c r="P1450" s="7" t="s">
        <v>43</v>
      </c>
      <c r="Q1450" s="7">
        <v>0</v>
      </c>
      <c r="R1450" s="7">
        <v>0</v>
      </c>
      <c r="S1450" s="7">
        <v>0</v>
      </c>
      <c r="T1450" s="7">
        <v>0</v>
      </c>
      <c r="U1450" s="7">
        <v>12</v>
      </c>
      <c r="V1450" s="7" t="s">
        <v>2612</v>
      </c>
      <c r="W1450" s="7">
        <v>2</v>
      </c>
      <c r="X1450" s="7">
        <v>10</v>
      </c>
      <c r="Y1450" s="7">
        <v>7</v>
      </c>
      <c r="Z1450" s="7">
        <v>2</v>
      </c>
      <c r="AA1450" s="7">
        <v>1</v>
      </c>
      <c r="AB1450" s="7">
        <v>1</v>
      </c>
      <c r="AC1450" s="7" t="s">
        <v>0</v>
      </c>
      <c r="AD1450" s="7">
        <v>1</v>
      </c>
      <c r="AE1450" s="7" t="s">
        <v>532</v>
      </c>
    </row>
    <row r="1451" spans="1:31" ht="51" x14ac:dyDescent="0.2">
      <c r="A1451" s="8" t="str">
        <f>HYPERLINK("http://www.patentics.cn/invokexml.do?sx=showpatent_cn&amp;sf=ShowPatent&amp;spn=CN101682391B&amp;sx=showpatent_cn&amp;sv=971f9a7ba4c30adbfe0907ea698c738b","CN101682391B")</f>
        <v>CN101682391B</v>
      </c>
      <c r="B1451" s="9" t="s">
        <v>7438</v>
      </c>
      <c r="C1451" s="9" t="s">
        <v>7439</v>
      </c>
      <c r="D1451" s="9" t="s">
        <v>301</v>
      </c>
      <c r="E1451" s="9" t="s">
        <v>301</v>
      </c>
      <c r="F1451" s="9" t="s">
        <v>7440</v>
      </c>
      <c r="G1451" s="9" t="s">
        <v>7441</v>
      </c>
      <c r="H1451" s="9" t="s">
        <v>7442</v>
      </c>
      <c r="I1451" s="9" t="s">
        <v>1992</v>
      </c>
      <c r="J1451" s="9" t="s">
        <v>3257</v>
      </c>
      <c r="K1451" s="9" t="s">
        <v>89</v>
      </c>
      <c r="L1451" s="9" t="s">
        <v>1634</v>
      </c>
      <c r="M1451" s="9">
        <v>25</v>
      </c>
      <c r="N1451" s="9">
        <v>13</v>
      </c>
      <c r="O1451" s="9" t="s">
        <v>57</v>
      </c>
      <c r="P1451" s="9" t="s">
        <v>58</v>
      </c>
      <c r="Q1451" s="9">
        <v>4</v>
      </c>
      <c r="R1451" s="9">
        <v>0</v>
      </c>
      <c r="S1451" s="9">
        <v>4</v>
      </c>
      <c r="T1451" s="9">
        <v>3</v>
      </c>
      <c r="U1451" s="9">
        <v>0</v>
      </c>
      <c r="V1451" s="9" t="s">
        <v>114</v>
      </c>
      <c r="W1451" s="9">
        <v>0</v>
      </c>
      <c r="X1451" s="9">
        <v>0</v>
      </c>
      <c r="Y1451" s="9">
        <v>0</v>
      </c>
      <c r="Z1451" s="9">
        <v>0</v>
      </c>
      <c r="AA1451" s="9">
        <v>111</v>
      </c>
      <c r="AB1451" s="9">
        <v>10</v>
      </c>
      <c r="AC1451" s="9">
        <v>14</v>
      </c>
      <c r="AD1451" s="9" t="s">
        <v>0</v>
      </c>
      <c r="AE1451" s="9" t="s">
        <v>60</v>
      </c>
    </row>
    <row r="1452" spans="1:31" ht="76.5" x14ac:dyDescent="0.2">
      <c r="A1452" s="6" t="str">
        <f>HYPERLINK("http://www.patentics.cn/invokexml.do?sx=showpatent_cn&amp;sf=ShowPatent&amp;spn=CN1832627&amp;sx=showpatent_cn&amp;sv=88172de6fb94bb396619b3afb00fe294","CN1832627")</f>
        <v>CN1832627</v>
      </c>
      <c r="B1452" s="7" t="s">
        <v>7443</v>
      </c>
      <c r="C1452" s="7" t="s">
        <v>7444</v>
      </c>
      <c r="D1452" s="7" t="s">
        <v>1097</v>
      </c>
      <c r="E1452" s="7" t="s">
        <v>1097</v>
      </c>
      <c r="F1452" s="7" t="s">
        <v>7445</v>
      </c>
      <c r="G1452" s="7" t="s">
        <v>1099</v>
      </c>
      <c r="H1452" s="7" t="s">
        <v>0</v>
      </c>
      <c r="I1452" s="7" t="s">
        <v>388</v>
      </c>
      <c r="J1452" s="7" t="s">
        <v>7446</v>
      </c>
      <c r="K1452" s="7" t="s">
        <v>96</v>
      </c>
      <c r="L1452" s="7" t="s">
        <v>1102</v>
      </c>
      <c r="M1452" s="7">
        <v>5</v>
      </c>
      <c r="N1452" s="7">
        <v>29</v>
      </c>
      <c r="O1452" s="7" t="s">
        <v>42</v>
      </c>
      <c r="P1452" s="7" t="s">
        <v>43</v>
      </c>
      <c r="Q1452" s="7">
        <v>0</v>
      </c>
      <c r="R1452" s="7">
        <v>0</v>
      </c>
      <c r="S1452" s="7">
        <v>0</v>
      </c>
      <c r="T1452" s="7">
        <v>0</v>
      </c>
      <c r="U1452" s="7">
        <v>3</v>
      </c>
      <c r="V1452" s="7" t="s">
        <v>6220</v>
      </c>
      <c r="W1452" s="7">
        <v>0</v>
      </c>
      <c r="X1452" s="7">
        <v>3</v>
      </c>
      <c r="Y1452" s="7">
        <v>2</v>
      </c>
      <c r="Z1452" s="7">
        <v>2</v>
      </c>
      <c r="AA1452" s="7">
        <v>0</v>
      </c>
      <c r="AB1452" s="7">
        <v>0</v>
      </c>
      <c r="AC1452" s="7" t="s">
        <v>0</v>
      </c>
      <c r="AD1452" s="7">
        <v>1</v>
      </c>
      <c r="AE1452" s="7" t="s">
        <v>1390</v>
      </c>
    </row>
    <row r="1453" spans="1:31" ht="102" x14ac:dyDescent="0.2">
      <c r="A1453" s="8" t="str">
        <f>HYPERLINK("http://www.patentics.cn/invokexml.do?sx=showpatent_cn&amp;sf=ShowPatent&amp;spn=US9541630&amp;sx=showpatent_cn&amp;sv=51bd5e78478c4128ee99d75a19d66072","US9541630")</f>
        <v>US9541630</v>
      </c>
      <c r="B1453" s="9" t="s">
        <v>7447</v>
      </c>
      <c r="C1453" s="9" t="s">
        <v>7448</v>
      </c>
      <c r="D1453" s="9" t="s">
        <v>48</v>
      </c>
      <c r="E1453" s="9" t="s">
        <v>49</v>
      </c>
      <c r="F1453" s="9" t="s">
        <v>7449</v>
      </c>
      <c r="G1453" s="9" t="s">
        <v>7450</v>
      </c>
      <c r="H1453" s="9" t="s">
        <v>7451</v>
      </c>
      <c r="I1453" s="9" t="s">
        <v>7451</v>
      </c>
      <c r="J1453" s="9" t="s">
        <v>521</v>
      </c>
      <c r="K1453" s="9" t="s">
        <v>55</v>
      </c>
      <c r="L1453" s="9" t="s">
        <v>975</v>
      </c>
      <c r="M1453" s="9">
        <v>34</v>
      </c>
      <c r="N1453" s="9">
        <v>11</v>
      </c>
      <c r="O1453" s="9" t="s">
        <v>57</v>
      </c>
      <c r="P1453" s="9" t="s">
        <v>58</v>
      </c>
      <c r="Q1453" s="9">
        <v>19</v>
      </c>
      <c r="R1453" s="9">
        <v>0</v>
      </c>
      <c r="S1453" s="9">
        <v>19</v>
      </c>
      <c r="T1453" s="9">
        <v>14</v>
      </c>
      <c r="U1453" s="9">
        <v>0</v>
      </c>
      <c r="V1453" s="9" t="s">
        <v>114</v>
      </c>
      <c r="W1453" s="9">
        <v>0</v>
      </c>
      <c r="X1453" s="9">
        <v>0</v>
      </c>
      <c r="Y1453" s="9">
        <v>0</v>
      </c>
      <c r="Z1453" s="9">
        <v>0</v>
      </c>
      <c r="AA1453" s="9">
        <v>6</v>
      </c>
      <c r="AB1453" s="9">
        <v>6</v>
      </c>
      <c r="AC1453" s="9">
        <v>14</v>
      </c>
      <c r="AD1453" s="9" t="s">
        <v>0</v>
      </c>
      <c r="AE1453" s="9" t="s">
        <v>60</v>
      </c>
    </row>
    <row r="1454" spans="1:31" ht="25.5" x14ac:dyDescent="0.2">
      <c r="A1454" s="6" t="str">
        <f>HYPERLINK("http://www.patentics.cn/invokexml.do?sx=showpatent_cn&amp;sf=ShowPatent&amp;spn=CN1832613&amp;sx=showpatent_cn&amp;sv=223c399dca6947374144f49017554739","CN1832613")</f>
        <v>CN1832613</v>
      </c>
      <c r="B1454" s="7" t="s">
        <v>7452</v>
      </c>
      <c r="C1454" s="7" t="s">
        <v>7453</v>
      </c>
      <c r="D1454" s="7" t="s">
        <v>35</v>
      </c>
      <c r="E1454" s="7" t="s">
        <v>35</v>
      </c>
      <c r="F1454" s="7" t="s">
        <v>7454</v>
      </c>
      <c r="G1454" s="7" t="s">
        <v>7455</v>
      </c>
      <c r="H1454" s="7" t="s">
        <v>4445</v>
      </c>
      <c r="I1454" s="7" t="s">
        <v>4445</v>
      </c>
      <c r="J1454" s="7" t="s">
        <v>7446</v>
      </c>
      <c r="K1454" s="7" t="s">
        <v>96</v>
      </c>
      <c r="L1454" s="7" t="s">
        <v>2811</v>
      </c>
      <c r="M1454" s="7">
        <v>6</v>
      </c>
      <c r="N1454" s="7">
        <v>45</v>
      </c>
      <c r="O1454" s="7" t="s">
        <v>42</v>
      </c>
      <c r="P1454" s="7" t="s">
        <v>43</v>
      </c>
      <c r="Q1454" s="7">
        <v>0</v>
      </c>
      <c r="R1454" s="7">
        <v>0</v>
      </c>
      <c r="S1454" s="7">
        <v>0</v>
      </c>
      <c r="T1454" s="7">
        <v>0</v>
      </c>
      <c r="U1454" s="7">
        <v>21</v>
      </c>
      <c r="V1454" s="7" t="s">
        <v>7456</v>
      </c>
      <c r="W1454" s="7">
        <v>0</v>
      </c>
      <c r="X1454" s="7">
        <v>21</v>
      </c>
      <c r="Y1454" s="7">
        <v>11</v>
      </c>
      <c r="Z1454" s="7">
        <v>4</v>
      </c>
      <c r="AA1454" s="7">
        <v>1</v>
      </c>
      <c r="AB1454" s="7">
        <v>1</v>
      </c>
      <c r="AC1454" s="7" t="s">
        <v>0</v>
      </c>
      <c r="AD1454" s="7">
        <v>1</v>
      </c>
      <c r="AE1454" s="7" t="s">
        <v>532</v>
      </c>
    </row>
    <row r="1455" spans="1:31" ht="51" x14ac:dyDescent="0.2">
      <c r="A1455" s="8" t="str">
        <f>HYPERLINK("http://www.patentics.cn/invokexml.do?sx=showpatent_cn&amp;sf=ShowPatent&amp;spn=TWI530206&amp;sx=showpatent_cn&amp;sv=0e19173aa4206386f4ba2e3cdec06f0f","TWI530206")</f>
        <v>TWI530206</v>
      </c>
      <c r="B1455" s="9" t="s">
        <v>7457</v>
      </c>
      <c r="C1455" s="9" t="s">
        <v>7458</v>
      </c>
      <c r="D1455" s="9" t="s">
        <v>2189</v>
      </c>
      <c r="E1455" s="9" t="s">
        <v>301</v>
      </c>
      <c r="F1455" s="9" t="s">
        <v>7459</v>
      </c>
      <c r="G1455" s="9" t="s">
        <v>7460</v>
      </c>
      <c r="H1455" s="9" t="s">
        <v>7461</v>
      </c>
      <c r="I1455" s="9" t="s">
        <v>1485</v>
      </c>
      <c r="J1455" s="9" t="s">
        <v>7462</v>
      </c>
      <c r="K1455" s="9" t="s">
        <v>55</v>
      </c>
      <c r="L1455" s="9" t="s">
        <v>7463</v>
      </c>
      <c r="M1455" s="9">
        <v>9</v>
      </c>
      <c r="N1455" s="9">
        <v>13</v>
      </c>
      <c r="O1455" s="9" t="s">
        <v>57</v>
      </c>
      <c r="P1455" s="9" t="s">
        <v>58</v>
      </c>
      <c r="Q1455" s="9">
        <v>4</v>
      </c>
      <c r="R1455" s="9">
        <v>0</v>
      </c>
      <c r="S1455" s="9">
        <v>4</v>
      </c>
      <c r="T1455" s="9">
        <v>3</v>
      </c>
      <c r="U1455" s="9">
        <v>0</v>
      </c>
      <c r="V1455" s="9" t="s">
        <v>114</v>
      </c>
      <c r="W1455" s="9">
        <v>0</v>
      </c>
      <c r="X1455" s="9">
        <v>0</v>
      </c>
      <c r="Y1455" s="9">
        <v>0</v>
      </c>
      <c r="Z1455" s="9">
        <v>0</v>
      </c>
      <c r="AA1455" s="9">
        <v>30</v>
      </c>
      <c r="AB1455" s="9">
        <v>14</v>
      </c>
      <c r="AC1455" s="9">
        <v>14</v>
      </c>
      <c r="AD1455" s="9" t="s">
        <v>0</v>
      </c>
      <c r="AE1455" s="9" t="s">
        <v>0</v>
      </c>
    </row>
    <row r="1456" spans="1:31" ht="25.5" x14ac:dyDescent="0.2">
      <c r="A1456" s="6" t="str">
        <f>HYPERLINK("http://www.patentics.cn/invokexml.do?sx=showpatent_cn&amp;sf=ShowPatent&amp;spn=CN1829211&amp;sx=showpatent_cn&amp;sv=9b4fe88e9968d0f7f686678e3c295bfe","CN1829211")</f>
        <v>CN1829211</v>
      </c>
      <c r="B1456" s="7" t="s">
        <v>7464</v>
      </c>
      <c r="C1456" s="7" t="s">
        <v>7465</v>
      </c>
      <c r="D1456" s="7" t="s">
        <v>35</v>
      </c>
      <c r="E1456" s="7" t="s">
        <v>35</v>
      </c>
      <c r="F1456" s="7" t="s">
        <v>2722</v>
      </c>
      <c r="G1456" s="7" t="s">
        <v>2723</v>
      </c>
      <c r="H1456" s="7" t="s">
        <v>637</v>
      </c>
      <c r="I1456" s="7" t="s">
        <v>637</v>
      </c>
      <c r="J1456" s="7" t="s">
        <v>1378</v>
      </c>
      <c r="K1456" s="7" t="s">
        <v>68</v>
      </c>
      <c r="L1456" s="7" t="s">
        <v>281</v>
      </c>
      <c r="M1456" s="7">
        <v>4</v>
      </c>
      <c r="N1456" s="7">
        <v>71</v>
      </c>
      <c r="O1456" s="7" t="s">
        <v>42</v>
      </c>
      <c r="P1456" s="7" t="s">
        <v>43</v>
      </c>
      <c r="Q1456" s="7">
        <v>0</v>
      </c>
      <c r="R1456" s="7">
        <v>0</v>
      </c>
      <c r="S1456" s="7">
        <v>0</v>
      </c>
      <c r="T1456" s="7">
        <v>0</v>
      </c>
      <c r="U1456" s="7">
        <v>8</v>
      </c>
      <c r="V1456" s="7" t="s">
        <v>7466</v>
      </c>
      <c r="W1456" s="7">
        <v>3</v>
      </c>
      <c r="X1456" s="7">
        <v>5</v>
      </c>
      <c r="Y1456" s="7">
        <v>5</v>
      </c>
      <c r="Z1456" s="7">
        <v>1</v>
      </c>
      <c r="AA1456" s="7">
        <v>1</v>
      </c>
      <c r="AB1456" s="7">
        <v>1</v>
      </c>
      <c r="AC1456" s="7" t="s">
        <v>0</v>
      </c>
      <c r="AD1456" s="7">
        <v>1</v>
      </c>
      <c r="AE1456" s="7" t="s">
        <v>532</v>
      </c>
    </row>
    <row r="1457" spans="1:31" ht="38.25" x14ac:dyDescent="0.2">
      <c r="A1457" s="8" t="str">
        <f>HYPERLINK("http://www.patentics.cn/invokexml.do?sx=showpatent_cn&amp;sf=ShowPatent&amp;spn=CN101981984B&amp;sx=showpatent_cn&amp;sv=b7b3d9627a4f7e8d6beebd844603d973","CN101981984B")</f>
        <v>CN101981984B</v>
      </c>
      <c r="B1457" s="9" t="s">
        <v>7467</v>
      </c>
      <c r="C1457" s="9" t="s">
        <v>7468</v>
      </c>
      <c r="D1457" s="9" t="s">
        <v>301</v>
      </c>
      <c r="E1457" s="9" t="s">
        <v>301</v>
      </c>
      <c r="F1457" s="9" t="s">
        <v>7469</v>
      </c>
      <c r="G1457" s="9" t="s">
        <v>7470</v>
      </c>
      <c r="H1457" s="9" t="s">
        <v>7471</v>
      </c>
      <c r="I1457" s="9" t="s">
        <v>7472</v>
      </c>
      <c r="J1457" s="9" t="s">
        <v>7473</v>
      </c>
      <c r="K1457" s="9" t="s">
        <v>55</v>
      </c>
      <c r="L1457" s="9" t="s">
        <v>7474</v>
      </c>
      <c r="M1457" s="9">
        <v>17</v>
      </c>
      <c r="N1457" s="9">
        <v>24</v>
      </c>
      <c r="O1457" s="9" t="s">
        <v>57</v>
      </c>
      <c r="P1457" s="9" t="s">
        <v>58</v>
      </c>
      <c r="Q1457" s="9">
        <v>3</v>
      </c>
      <c r="R1457" s="9">
        <v>2</v>
      </c>
      <c r="S1457" s="9">
        <v>1</v>
      </c>
      <c r="T1457" s="9">
        <v>2</v>
      </c>
      <c r="U1457" s="9">
        <v>0</v>
      </c>
      <c r="V1457" s="9" t="s">
        <v>114</v>
      </c>
      <c r="W1457" s="9">
        <v>0</v>
      </c>
      <c r="X1457" s="9">
        <v>0</v>
      </c>
      <c r="Y1457" s="9">
        <v>0</v>
      </c>
      <c r="Z1457" s="9">
        <v>0</v>
      </c>
      <c r="AA1457" s="9">
        <v>14</v>
      </c>
      <c r="AB1457" s="9">
        <v>7</v>
      </c>
      <c r="AC1457" s="9">
        <v>14</v>
      </c>
      <c r="AD1457" s="9" t="s">
        <v>0</v>
      </c>
      <c r="AE1457" s="9" t="s">
        <v>60</v>
      </c>
    </row>
    <row r="1458" spans="1:31" ht="38.25" x14ac:dyDescent="0.2">
      <c r="A1458" s="6" t="str">
        <f>HYPERLINK("http://www.patentics.cn/invokexml.do?sx=showpatent_cn&amp;sf=ShowPatent&amp;spn=CN1815981&amp;sx=showpatent_cn&amp;sv=200c16704798abaef4c125cff6a0cd3f","CN1815981")</f>
        <v>CN1815981</v>
      </c>
      <c r="B1458" s="7" t="s">
        <v>7475</v>
      </c>
      <c r="C1458" s="7" t="s">
        <v>7476</v>
      </c>
      <c r="D1458" s="7" t="s">
        <v>1383</v>
      </c>
      <c r="E1458" s="7" t="s">
        <v>1383</v>
      </c>
      <c r="F1458" s="7" t="s">
        <v>7477</v>
      </c>
      <c r="G1458" s="7" t="s">
        <v>7478</v>
      </c>
      <c r="H1458" s="7" t="s">
        <v>7479</v>
      </c>
      <c r="I1458" s="7" t="s">
        <v>7479</v>
      </c>
      <c r="J1458" s="7" t="s">
        <v>4747</v>
      </c>
      <c r="K1458" s="7" t="s">
        <v>68</v>
      </c>
      <c r="L1458" s="7" t="s">
        <v>2448</v>
      </c>
      <c r="M1458" s="7">
        <v>2</v>
      </c>
      <c r="N1458" s="7">
        <v>98</v>
      </c>
      <c r="O1458" s="7" t="s">
        <v>42</v>
      </c>
      <c r="P1458" s="7" t="s">
        <v>43</v>
      </c>
      <c r="Q1458" s="7">
        <v>0</v>
      </c>
      <c r="R1458" s="7">
        <v>0</v>
      </c>
      <c r="S1458" s="7">
        <v>0</v>
      </c>
      <c r="T1458" s="7">
        <v>0</v>
      </c>
      <c r="U1458" s="7">
        <v>14</v>
      </c>
      <c r="V1458" s="7" t="s">
        <v>7480</v>
      </c>
      <c r="W1458" s="7">
        <v>0</v>
      </c>
      <c r="X1458" s="7">
        <v>14</v>
      </c>
      <c r="Y1458" s="7">
        <v>8</v>
      </c>
      <c r="Z1458" s="7">
        <v>3</v>
      </c>
      <c r="AA1458" s="7">
        <v>1</v>
      </c>
      <c r="AB1458" s="7">
        <v>1</v>
      </c>
      <c r="AC1458" s="7" t="s">
        <v>0</v>
      </c>
      <c r="AD1458" s="7">
        <v>1</v>
      </c>
      <c r="AE1458" s="7" t="s">
        <v>532</v>
      </c>
    </row>
    <row r="1459" spans="1:31" ht="63.75" x14ac:dyDescent="0.2">
      <c r="A1459" s="8" t="str">
        <f>HYPERLINK("http://www.patentics.cn/invokexml.do?sx=showpatent_cn&amp;sf=ShowPatent&amp;spn=CN102067525B&amp;sx=showpatent_cn&amp;sv=f3c616b3792db21a933a1781aba03284","CN102067525B")</f>
        <v>CN102067525B</v>
      </c>
      <c r="B1459" s="9" t="s">
        <v>7481</v>
      </c>
      <c r="C1459" s="9" t="s">
        <v>7482</v>
      </c>
      <c r="D1459" s="9" t="s">
        <v>301</v>
      </c>
      <c r="E1459" s="9" t="s">
        <v>301</v>
      </c>
      <c r="F1459" s="9" t="s">
        <v>7483</v>
      </c>
      <c r="G1459" s="9" t="s">
        <v>3000</v>
      </c>
      <c r="H1459" s="9" t="s">
        <v>2976</v>
      </c>
      <c r="I1459" s="9" t="s">
        <v>1271</v>
      </c>
      <c r="J1459" s="9" t="s">
        <v>7484</v>
      </c>
      <c r="K1459" s="9" t="s">
        <v>68</v>
      </c>
      <c r="L1459" s="9" t="s">
        <v>2488</v>
      </c>
      <c r="M1459" s="9">
        <v>45</v>
      </c>
      <c r="N1459" s="9">
        <v>8</v>
      </c>
      <c r="O1459" s="9" t="s">
        <v>57</v>
      </c>
      <c r="P1459" s="9" t="s">
        <v>58</v>
      </c>
      <c r="Q1459" s="9">
        <v>1</v>
      </c>
      <c r="R1459" s="9">
        <v>0</v>
      </c>
      <c r="S1459" s="9">
        <v>1</v>
      </c>
      <c r="T1459" s="9">
        <v>1</v>
      </c>
      <c r="U1459" s="9">
        <v>0</v>
      </c>
      <c r="V1459" s="9" t="s">
        <v>114</v>
      </c>
      <c r="W1459" s="9">
        <v>0</v>
      </c>
      <c r="X1459" s="9">
        <v>0</v>
      </c>
      <c r="Y1459" s="9">
        <v>0</v>
      </c>
      <c r="Z1459" s="9">
        <v>0</v>
      </c>
      <c r="AA1459" s="9">
        <v>15</v>
      </c>
      <c r="AB1459" s="9">
        <v>9</v>
      </c>
      <c r="AC1459" s="9">
        <v>14</v>
      </c>
      <c r="AD1459" s="9" t="s">
        <v>0</v>
      </c>
      <c r="AE1459" s="9" t="s">
        <v>60</v>
      </c>
    </row>
    <row r="1460" spans="1:31" ht="63.75" x14ac:dyDescent="0.2">
      <c r="A1460" s="6" t="str">
        <f>HYPERLINK("http://www.patentics.cn/invokexml.do?sx=showpatent_cn&amp;sf=ShowPatent&amp;spn=CN1808419&amp;sx=showpatent_cn&amp;sv=f2f8c5235f27e8738d24e8806f6fe79d","CN1808419")</f>
        <v>CN1808419</v>
      </c>
      <c r="B1460" s="7" t="s">
        <v>7485</v>
      </c>
      <c r="C1460" s="7" t="s">
        <v>7486</v>
      </c>
      <c r="D1460" s="7" t="s">
        <v>2756</v>
      </c>
      <c r="E1460" s="7" t="s">
        <v>2757</v>
      </c>
      <c r="F1460" s="7" t="s">
        <v>7487</v>
      </c>
      <c r="G1460" s="7" t="s">
        <v>7488</v>
      </c>
      <c r="H1460" s="7" t="s">
        <v>3101</v>
      </c>
      <c r="I1460" s="7" t="s">
        <v>3101</v>
      </c>
      <c r="J1460" s="7" t="s">
        <v>7489</v>
      </c>
      <c r="K1460" s="7" t="s">
        <v>885</v>
      </c>
      <c r="L1460" s="7" t="s">
        <v>1353</v>
      </c>
      <c r="M1460" s="7">
        <v>9</v>
      </c>
      <c r="N1460" s="7">
        <v>12</v>
      </c>
      <c r="O1460" s="7" t="s">
        <v>42</v>
      </c>
      <c r="P1460" s="7" t="s">
        <v>43</v>
      </c>
      <c r="Q1460" s="7">
        <v>3</v>
      </c>
      <c r="R1460" s="7">
        <v>0</v>
      </c>
      <c r="S1460" s="7">
        <v>3</v>
      </c>
      <c r="T1460" s="7">
        <v>2</v>
      </c>
      <c r="U1460" s="7">
        <v>5</v>
      </c>
      <c r="V1460" s="7" t="s">
        <v>5053</v>
      </c>
      <c r="W1460" s="7">
        <v>0</v>
      </c>
      <c r="X1460" s="7">
        <v>5</v>
      </c>
      <c r="Y1460" s="7">
        <v>4</v>
      </c>
      <c r="Z1460" s="7">
        <v>2</v>
      </c>
      <c r="AA1460" s="7">
        <v>1</v>
      </c>
      <c r="AB1460" s="7">
        <v>1</v>
      </c>
      <c r="AC1460" s="7" t="s">
        <v>0</v>
      </c>
      <c r="AD1460" s="7">
        <v>1</v>
      </c>
      <c r="AE1460" s="7" t="s">
        <v>532</v>
      </c>
    </row>
    <row r="1461" spans="1:31" ht="38.25" x14ac:dyDescent="0.2">
      <c r="A1461" s="8" t="str">
        <f>HYPERLINK("http://www.patentics.cn/invokexml.do?sx=showpatent_cn&amp;sf=ShowPatent&amp;spn=CN101933012B&amp;sx=showpatent_cn&amp;sv=c91e363b956184a2c6d85dbcc3dcff7d","CN101933012B")</f>
        <v>CN101933012B</v>
      </c>
      <c r="B1461" s="9" t="s">
        <v>7490</v>
      </c>
      <c r="C1461" s="9" t="s">
        <v>7491</v>
      </c>
      <c r="D1461" s="9" t="s">
        <v>301</v>
      </c>
      <c r="E1461" s="9" t="s">
        <v>301</v>
      </c>
      <c r="F1461" s="9" t="s">
        <v>7492</v>
      </c>
      <c r="G1461" s="9" t="s">
        <v>7493</v>
      </c>
      <c r="H1461" s="9" t="s">
        <v>7494</v>
      </c>
      <c r="I1461" s="9" t="s">
        <v>1901</v>
      </c>
      <c r="J1461" s="9" t="s">
        <v>6697</v>
      </c>
      <c r="K1461" s="9" t="s">
        <v>885</v>
      </c>
      <c r="L1461" s="9" t="s">
        <v>1353</v>
      </c>
      <c r="M1461" s="9">
        <v>7</v>
      </c>
      <c r="N1461" s="9">
        <v>21</v>
      </c>
      <c r="O1461" s="9" t="s">
        <v>57</v>
      </c>
      <c r="P1461" s="9" t="s">
        <v>7495</v>
      </c>
      <c r="Q1461" s="9">
        <v>5</v>
      </c>
      <c r="R1461" s="9">
        <v>0</v>
      </c>
      <c r="S1461" s="9">
        <v>5</v>
      </c>
      <c r="T1461" s="9">
        <v>5</v>
      </c>
      <c r="U1461" s="9">
        <v>0</v>
      </c>
      <c r="V1461" s="9" t="s">
        <v>114</v>
      </c>
      <c r="W1461" s="9">
        <v>0</v>
      </c>
      <c r="X1461" s="9">
        <v>0</v>
      </c>
      <c r="Y1461" s="9">
        <v>0</v>
      </c>
      <c r="Z1461" s="9">
        <v>0</v>
      </c>
      <c r="AA1461" s="9">
        <v>10</v>
      </c>
      <c r="AB1461" s="9">
        <v>6</v>
      </c>
      <c r="AC1461" s="9">
        <v>14</v>
      </c>
      <c r="AD1461" s="9" t="s">
        <v>0</v>
      </c>
      <c r="AE1461" s="9" t="s">
        <v>60</v>
      </c>
    </row>
    <row r="1462" spans="1:31" ht="25.5" x14ac:dyDescent="0.2">
      <c r="A1462" s="6" t="str">
        <f>HYPERLINK("http://www.patentics.cn/invokexml.do?sx=showpatent_cn&amp;sf=ShowPatent&amp;spn=CN1801792&amp;sx=showpatent_cn&amp;sv=21ccddb7ca14210dc1b55961aea771ac","CN1801792")</f>
        <v>CN1801792</v>
      </c>
      <c r="B1462" s="7" t="s">
        <v>7496</v>
      </c>
      <c r="C1462" s="7" t="s">
        <v>7497</v>
      </c>
      <c r="D1462" s="7" t="s">
        <v>35</v>
      </c>
      <c r="E1462" s="7" t="s">
        <v>35</v>
      </c>
      <c r="F1462" s="7" t="s">
        <v>7498</v>
      </c>
      <c r="G1462" s="7" t="s">
        <v>7499</v>
      </c>
      <c r="H1462" s="7" t="s">
        <v>0</v>
      </c>
      <c r="I1462" s="7" t="s">
        <v>7500</v>
      </c>
      <c r="J1462" s="7" t="s">
        <v>1387</v>
      </c>
      <c r="K1462" s="7" t="s">
        <v>68</v>
      </c>
      <c r="L1462" s="7" t="s">
        <v>428</v>
      </c>
      <c r="M1462" s="7">
        <v>1</v>
      </c>
      <c r="N1462" s="7">
        <v>37</v>
      </c>
      <c r="O1462" s="7" t="s">
        <v>42</v>
      </c>
      <c r="P1462" s="7" t="s">
        <v>43</v>
      </c>
      <c r="Q1462" s="7">
        <v>0</v>
      </c>
      <c r="R1462" s="7">
        <v>0</v>
      </c>
      <c r="S1462" s="7">
        <v>0</v>
      </c>
      <c r="T1462" s="7">
        <v>0</v>
      </c>
      <c r="U1462" s="7">
        <v>10</v>
      </c>
      <c r="V1462" s="7" t="s">
        <v>7501</v>
      </c>
      <c r="W1462" s="7">
        <v>1</v>
      </c>
      <c r="X1462" s="7">
        <v>9</v>
      </c>
      <c r="Y1462" s="7">
        <v>7</v>
      </c>
      <c r="Z1462" s="7">
        <v>3</v>
      </c>
      <c r="AA1462" s="7">
        <v>0</v>
      </c>
      <c r="AB1462" s="7">
        <v>0</v>
      </c>
      <c r="AC1462" s="7" t="s">
        <v>0</v>
      </c>
      <c r="AD1462" s="7">
        <v>1</v>
      </c>
      <c r="AE1462" s="7" t="s">
        <v>45</v>
      </c>
    </row>
    <row r="1463" spans="1:31" ht="51" x14ac:dyDescent="0.2">
      <c r="A1463" s="8" t="str">
        <f>HYPERLINK("http://www.patentics.cn/invokexml.do?sx=showpatent_cn&amp;sf=ShowPatent&amp;spn=US8488712&amp;sx=showpatent_cn&amp;sv=4ebd03e773f761eb02e353b9255af552","US8488712")</f>
        <v>US8488712</v>
      </c>
      <c r="B1463" s="9" t="s">
        <v>7502</v>
      </c>
      <c r="C1463" s="9" t="s">
        <v>7503</v>
      </c>
      <c r="D1463" s="9" t="s">
        <v>48</v>
      </c>
      <c r="E1463" s="9" t="s">
        <v>49</v>
      </c>
      <c r="F1463" s="9" t="s">
        <v>7504</v>
      </c>
      <c r="G1463" s="9" t="s">
        <v>7505</v>
      </c>
      <c r="H1463" s="9" t="s">
        <v>7506</v>
      </c>
      <c r="I1463" s="9" t="s">
        <v>5515</v>
      </c>
      <c r="J1463" s="9" t="s">
        <v>539</v>
      </c>
      <c r="K1463" s="9" t="s">
        <v>68</v>
      </c>
      <c r="L1463" s="9" t="s">
        <v>7507</v>
      </c>
      <c r="M1463" s="9">
        <v>40</v>
      </c>
      <c r="N1463" s="9">
        <v>8</v>
      </c>
      <c r="O1463" s="9" t="s">
        <v>57</v>
      </c>
      <c r="P1463" s="9" t="s">
        <v>58</v>
      </c>
      <c r="Q1463" s="9">
        <v>20</v>
      </c>
      <c r="R1463" s="9">
        <v>4</v>
      </c>
      <c r="S1463" s="9">
        <v>16</v>
      </c>
      <c r="T1463" s="9">
        <v>12</v>
      </c>
      <c r="U1463" s="9">
        <v>1</v>
      </c>
      <c r="V1463" s="9" t="s">
        <v>264</v>
      </c>
      <c r="W1463" s="9">
        <v>0</v>
      </c>
      <c r="X1463" s="9">
        <v>1</v>
      </c>
      <c r="Y1463" s="9">
        <v>1</v>
      </c>
      <c r="Z1463" s="9">
        <v>1</v>
      </c>
      <c r="AA1463" s="9">
        <v>24</v>
      </c>
      <c r="AB1463" s="9">
        <v>10</v>
      </c>
      <c r="AC1463" s="9">
        <v>14</v>
      </c>
      <c r="AD1463" s="9" t="s">
        <v>0</v>
      </c>
      <c r="AE1463" s="9" t="s">
        <v>60</v>
      </c>
    </row>
    <row r="1464" spans="1:31" ht="25.5" x14ac:dyDescent="0.2">
      <c r="A1464" s="6" t="str">
        <f>HYPERLINK("http://www.patentics.cn/invokexml.do?sx=showpatent_cn&amp;sf=ShowPatent&amp;spn=CN1794818&amp;sx=showpatent_cn&amp;sv=fb247e9efee931d9d579d49cf88fa585","CN1794818")</f>
        <v>CN1794818</v>
      </c>
      <c r="B1464" s="7" t="s">
        <v>7508</v>
      </c>
      <c r="C1464" s="7" t="s">
        <v>7509</v>
      </c>
      <c r="D1464" s="7" t="s">
        <v>3146</v>
      </c>
      <c r="E1464" s="7" t="s">
        <v>3146</v>
      </c>
      <c r="F1464" s="7" t="s">
        <v>7510</v>
      </c>
      <c r="G1464" s="7" t="s">
        <v>7511</v>
      </c>
      <c r="H1464" s="7" t="s">
        <v>7512</v>
      </c>
      <c r="I1464" s="7" t="s">
        <v>7512</v>
      </c>
      <c r="J1464" s="7" t="s">
        <v>7513</v>
      </c>
      <c r="K1464" s="7" t="s">
        <v>714</v>
      </c>
      <c r="L1464" s="7" t="s">
        <v>4516</v>
      </c>
      <c r="M1464" s="7">
        <v>1</v>
      </c>
      <c r="N1464" s="7">
        <v>54</v>
      </c>
      <c r="O1464" s="7" t="s">
        <v>42</v>
      </c>
      <c r="P1464" s="7" t="s">
        <v>43</v>
      </c>
      <c r="Q1464" s="7">
        <v>0</v>
      </c>
      <c r="R1464" s="7">
        <v>0</v>
      </c>
      <c r="S1464" s="7">
        <v>0</v>
      </c>
      <c r="T1464" s="7">
        <v>0</v>
      </c>
      <c r="U1464" s="7">
        <v>10</v>
      </c>
      <c r="V1464" s="7" t="s">
        <v>7514</v>
      </c>
      <c r="W1464" s="7">
        <v>1</v>
      </c>
      <c r="X1464" s="7">
        <v>9</v>
      </c>
      <c r="Y1464" s="7">
        <v>9</v>
      </c>
      <c r="Z1464" s="7">
        <v>1</v>
      </c>
      <c r="AA1464" s="7">
        <v>1</v>
      </c>
      <c r="AB1464" s="7">
        <v>1</v>
      </c>
      <c r="AC1464" s="7" t="s">
        <v>0</v>
      </c>
      <c r="AD1464" s="7">
        <v>1</v>
      </c>
      <c r="AE1464" s="7" t="s">
        <v>532</v>
      </c>
    </row>
    <row r="1465" spans="1:31" ht="51" x14ac:dyDescent="0.2">
      <c r="A1465" s="8" t="str">
        <f>HYPERLINK("http://www.patentics.cn/invokexml.do?sx=showpatent_cn&amp;sf=ShowPatent&amp;spn=CN103797802B&amp;sx=showpatent_cn&amp;sv=f5ffb6cd23b96a94ced426e2389c8937","CN103797802B")</f>
        <v>CN103797802B</v>
      </c>
      <c r="B1465" s="9" t="s">
        <v>7515</v>
      </c>
      <c r="C1465" s="9" t="s">
        <v>7516</v>
      </c>
      <c r="D1465" s="9" t="s">
        <v>301</v>
      </c>
      <c r="E1465" s="9" t="s">
        <v>301</v>
      </c>
      <c r="F1465" s="9" t="s">
        <v>7517</v>
      </c>
      <c r="G1465" s="9" t="s">
        <v>5976</v>
      </c>
      <c r="H1465" s="9" t="s">
        <v>7518</v>
      </c>
      <c r="I1465" s="9" t="s">
        <v>279</v>
      </c>
      <c r="J1465" s="9" t="s">
        <v>5868</v>
      </c>
      <c r="K1465" s="9" t="s">
        <v>714</v>
      </c>
      <c r="L1465" s="9" t="s">
        <v>7519</v>
      </c>
      <c r="M1465" s="9">
        <v>14</v>
      </c>
      <c r="N1465" s="9">
        <v>17</v>
      </c>
      <c r="O1465" s="9" t="s">
        <v>57</v>
      </c>
      <c r="P1465" s="9" t="s">
        <v>58</v>
      </c>
      <c r="Q1465" s="9">
        <v>3</v>
      </c>
      <c r="R1465" s="9">
        <v>1</v>
      </c>
      <c r="S1465" s="9">
        <v>2</v>
      </c>
      <c r="T1465" s="9">
        <v>3</v>
      </c>
      <c r="U1465" s="9">
        <v>0</v>
      </c>
      <c r="V1465" s="9" t="s">
        <v>114</v>
      </c>
      <c r="W1465" s="9">
        <v>0</v>
      </c>
      <c r="X1465" s="9">
        <v>0</v>
      </c>
      <c r="Y1465" s="9">
        <v>0</v>
      </c>
      <c r="Z1465" s="9">
        <v>0</v>
      </c>
      <c r="AA1465" s="9">
        <v>0</v>
      </c>
      <c r="AB1465" s="9">
        <v>0</v>
      </c>
      <c r="AC1465" s="9">
        <v>14</v>
      </c>
      <c r="AD1465" s="9" t="s">
        <v>0</v>
      </c>
      <c r="AE1465" s="9" t="s">
        <v>60</v>
      </c>
    </row>
    <row r="1466" spans="1:31" ht="51" x14ac:dyDescent="0.2">
      <c r="A1466" s="6" t="str">
        <f>HYPERLINK("http://www.patentics.cn/invokexml.do?sx=showpatent_cn&amp;sf=ShowPatent&amp;spn=CN1790981&amp;sx=showpatent_cn&amp;sv=5ecc33bdb4b77b6f395072b51a8aee49","CN1790981")</f>
        <v>CN1790981</v>
      </c>
      <c r="B1466" s="7" t="s">
        <v>7520</v>
      </c>
      <c r="C1466" s="7" t="s">
        <v>7521</v>
      </c>
      <c r="D1466" s="7" t="s">
        <v>1341</v>
      </c>
      <c r="E1466" s="7" t="s">
        <v>1341</v>
      </c>
      <c r="F1466" s="7" t="s">
        <v>7522</v>
      </c>
      <c r="G1466" s="7" t="s">
        <v>7523</v>
      </c>
      <c r="H1466" s="7" t="s">
        <v>7403</v>
      </c>
      <c r="I1466" s="7" t="s">
        <v>7403</v>
      </c>
      <c r="J1466" s="7" t="s">
        <v>2634</v>
      </c>
      <c r="K1466" s="7" t="s">
        <v>68</v>
      </c>
      <c r="L1466" s="7" t="s">
        <v>1326</v>
      </c>
      <c r="M1466" s="7">
        <v>7</v>
      </c>
      <c r="N1466" s="7">
        <v>28</v>
      </c>
      <c r="O1466" s="7" t="s">
        <v>42</v>
      </c>
      <c r="P1466" s="7" t="s">
        <v>43</v>
      </c>
      <c r="Q1466" s="7">
        <v>0</v>
      </c>
      <c r="R1466" s="7">
        <v>0</v>
      </c>
      <c r="S1466" s="7">
        <v>0</v>
      </c>
      <c r="T1466" s="7">
        <v>0</v>
      </c>
      <c r="U1466" s="7">
        <v>4</v>
      </c>
      <c r="V1466" s="7" t="s">
        <v>7334</v>
      </c>
      <c r="W1466" s="7">
        <v>0</v>
      </c>
      <c r="X1466" s="7">
        <v>4</v>
      </c>
      <c r="Y1466" s="7">
        <v>4</v>
      </c>
      <c r="Z1466" s="7">
        <v>1</v>
      </c>
      <c r="AA1466" s="7">
        <v>1</v>
      </c>
      <c r="AB1466" s="7">
        <v>1</v>
      </c>
      <c r="AC1466" s="7" t="s">
        <v>0</v>
      </c>
      <c r="AD1466" s="7">
        <v>1</v>
      </c>
      <c r="AE1466" s="7" t="s">
        <v>532</v>
      </c>
    </row>
    <row r="1467" spans="1:31" ht="63.75" x14ac:dyDescent="0.2">
      <c r="A1467" s="8" t="str">
        <f>HYPERLINK("http://www.patentics.cn/invokexml.do?sx=showpatent_cn&amp;sf=ShowPatent&amp;spn=CN101584158B&amp;sx=showpatent_cn&amp;sv=ef0d0f8fffd9dabb790cbc70c6525d8c","CN101584158B")</f>
        <v>CN101584158B</v>
      </c>
      <c r="B1467" s="9" t="s">
        <v>7524</v>
      </c>
      <c r="C1467" s="9" t="s">
        <v>7525</v>
      </c>
      <c r="D1467" s="9" t="s">
        <v>301</v>
      </c>
      <c r="E1467" s="9" t="s">
        <v>301</v>
      </c>
      <c r="F1467" s="9" t="s">
        <v>7526</v>
      </c>
      <c r="G1467" s="9" t="s">
        <v>3000</v>
      </c>
      <c r="H1467" s="9" t="s">
        <v>7527</v>
      </c>
      <c r="I1467" s="9" t="s">
        <v>7528</v>
      </c>
      <c r="J1467" s="9" t="s">
        <v>7141</v>
      </c>
      <c r="K1467" s="9" t="s">
        <v>68</v>
      </c>
      <c r="L1467" s="9" t="s">
        <v>7529</v>
      </c>
      <c r="M1467" s="9">
        <v>42</v>
      </c>
      <c r="N1467" s="9">
        <v>20</v>
      </c>
      <c r="O1467" s="9" t="s">
        <v>57</v>
      </c>
      <c r="P1467" s="9" t="s">
        <v>58</v>
      </c>
      <c r="Q1467" s="9">
        <v>3</v>
      </c>
      <c r="R1467" s="9">
        <v>0</v>
      </c>
      <c r="S1467" s="9">
        <v>3</v>
      </c>
      <c r="T1467" s="9">
        <v>3</v>
      </c>
      <c r="U1467" s="9">
        <v>0</v>
      </c>
      <c r="V1467" s="9" t="s">
        <v>114</v>
      </c>
      <c r="W1467" s="9">
        <v>0</v>
      </c>
      <c r="X1467" s="9">
        <v>0</v>
      </c>
      <c r="Y1467" s="9">
        <v>0</v>
      </c>
      <c r="Z1467" s="9">
        <v>0</v>
      </c>
      <c r="AA1467" s="9">
        <v>16</v>
      </c>
      <c r="AB1467" s="9">
        <v>10</v>
      </c>
      <c r="AC1467" s="9">
        <v>14</v>
      </c>
      <c r="AD1467" s="9" t="s">
        <v>0</v>
      </c>
      <c r="AE1467" s="9" t="s">
        <v>532</v>
      </c>
    </row>
    <row r="1468" spans="1:31" ht="38.25" x14ac:dyDescent="0.2">
      <c r="A1468" s="6" t="str">
        <f>HYPERLINK("http://www.patentics.cn/invokexml.do?sx=showpatent_cn&amp;sf=ShowPatent&amp;spn=CN1780241&amp;sx=showpatent_cn&amp;sv=e7440f756e1e192b37f0ebedba833582","CN1780241")</f>
        <v>CN1780241</v>
      </c>
      <c r="B1468" s="7" t="s">
        <v>7530</v>
      </c>
      <c r="C1468" s="7" t="s">
        <v>7531</v>
      </c>
      <c r="D1468" s="7" t="s">
        <v>4056</v>
      </c>
      <c r="E1468" s="7" t="s">
        <v>4056</v>
      </c>
      <c r="F1468" s="7" t="s">
        <v>7532</v>
      </c>
      <c r="G1468" s="7" t="s">
        <v>7533</v>
      </c>
      <c r="H1468" s="7" t="s">
        <v>7534</v>
      </c>
      <c r="I1468" s="7" t="s">
        <v>7534</v>
      </c>
      <c r="J1468" s="7" t="s">
        <v>66</v>
      </c>
      <c r="K1468" s="7" t="s">
        <v>68</v>
      </c>
      <c r="L1468" s="7" t="s">
        <v>245</v>
      </c>
      <c r="M1468" s="7">
        <v>4</v>
      </c>
      <c r="N1468" s="7">
        <v>49</v>
      </c>
      <c r="O1468" s="7" t="s">
        <v>42</v>
      </c>
      <c r="P1468" s="7" t="s">
        <v>43</v>
      </c>
      <c r="Q1468" s="7">
        <v>0</v>
      </c>
      <c r="R1468" s="7">
        <v>0</v>
      </c>
      <c r="S1468" s="7">
        <v>0</v>
      </c>
      <c r="T1468" s="7">
        <v>0</v>
      </c>
      <c r="U1468" s="7">
        <v>3</v>
      </c>
      <c r="V1468" s="7" t="s">
        <v>3882</v>
      </c>
      <c r="W1468" s="7">
        <v>0</v>
      </c>
      <c r="X1468" s="7">
        <v>3</v>
      </c>
      <c r="Y1468" s="7">
        <v>2</v>
      </c>
      <c r="Z1468" s="7">
        <v>2</v>
      </c>
      <c r="AA1468" s="7">
        <v>1</v>
      </c>
      <c r="AB1468" s="7">
        <v>1</v>
      </c>
      <c r="AC1468" s="7" t="s">
        <v>0</v>
      </c>
      <c r="AD1468" s="7">
        <v>1</v>
      </c>
      <c r="AE1468" s="7" t="s">
        <v>532</v>
      </c>
    </row>
    <row r="1469" spans="1:31" ht="127.5" x14ac:dyDescent="0.2">
      <c r="A1469" s="8" t="str">
        <f>HYPERLINK("http://www.patentics.cn/invokexml.do?sx=showpatent_cn&amp;sf=ShowPatent&amp;spn=US9642171&amp;sx=showpatent_cn&amp;sv=e5984c9b2396893c30c3c3a6d1ff4acf","US9642171")</f>
        <v>US9642171</v>
      </c>
      <c r="B1469" s="9" t="s">
        <v>7535</v>
      </c>
      <c r="C1469" s="9" t="s">
        <v>7536</v>
      </c>
      <c r="D1469" s="9" t="s">
        <v>48</v>
      </c>
      <c r="E1469" s="9" t="s">
        <v>49</v>
      </c>
      <c r="F1469" s="9" t="s">
        <v>7537</v>
      </c>
      <c r="G1469" s="9" t="s">
        <v>3825</v>
      </c>
      <c r="H1469" s="9" t="s">
        <v>7538</v>
      </c>
      <c r="I1469" s="9" t="s">
        <v>3366</v>
      </c>
      <c r="J1469" s="9" t="s">
        <v>6630</v>
      </c>
      <c r="K1469" s="9" t="s">
        <v>55</v>
      </c>
      <c r="L1469" s="9" t="s">
        <v>2501</v>
      </c>
      <c r="M1469" s="9">
        <v>120</v>
      </c>
      <c r="N1469" s="9">
        <v>13</v>
      </c>
      <c r="O1469" s="9" t="s">
        <v>57</v>
      </c>
      <c r="P1469" s="9" t="s">
        <v>58</v>
      </c>
      <c r="Q1469" s="9">
        <v>75</v>
      </c>
      <c r="R1469" s="9">
        <v>10</v>
      </c>
      <c r="S1469" s="9">
        <v>65</v>
      </c>
      <c r="T1469" s="9">
        <v>34</v>
      </c>
      <c r="U1469" s="9">
        <v>0</v>
      </c>
      <c r="V1469" s="9" t="s">
        <v>114</v>
      </c>
      <c r="W1469" s="9">
        <v>0</v>
      </c>
      <c r="X1469" s="9">
        <v>0</v>
      </c>
      <c r="Y1469" s="9">
        <v>0</v>
      </c>
      <c r="Z1469" s="9">
        <v>0</v>
      </c>
      <c r="AA1469" s="9">
        <v>55</v>
      </c>
      <c r="AB1469" s="9">
        <v>15</v>
      </c>
      <c r="AC1469" s="9">
        <v>14</v>
      </c>
      <c r="AD1469" s="9" t="s">
        <v>0</v>
      </c>
      <c r="AE1469" s="9" t="s">
        <v>60</v>
      </c>
    </row>
    <row r="1470" spans="1:31" ht="25.5" x14ac:dyDescent="0.2">
      <c r="A1470" s="6" t="str">
        <f>HYPERLINK("http://www.patentics.cn/invokexml.do?sx=showpatent_cn&amp;sf=ShowPatent&amp;spn=CN1777038&amp;sx=showpatent_cn&amp;sv=1e022e619b36941d72c59aaced7f1dce","CN1777038")</f>
        <v>CN1777038</v>
      </c>
      <c r="B1470" s="7" t="s">
        <v>7539</v>
      </c>
      <c r="C1470" s="7" t="s">
        <v>7540</v>
      </c>
      <c r="D1470" s="7" t="s">
        <v>2181</v>
      </c>
      <c r="E1470" s="7" t="s">
        <v>2181</v>
      </c>
      <c r="F1470" s="7" t="s">
        <v>7541</v>
      </c>
      <c r="G1470" s="7" t="s">
        <v>7542</v>
      </c>
      <c r="H1470" s="7" t="s">
        <v>7512</v>
      </c>
      <c r="I1470" s="7" t="s">
        <v>7512</v>
      </c>
      <c r="J1470" s="7" t="s">
        <v>7543</v>
      </c>
      <c r="K1470" s="7" t="s">
        <v>1529</v>
      </c>
      <c r="L1470" s="7" t="s">
        <v>4346</v>
      </c>
      <c r="M1470" s="7">
        <v>4</v>
      </c>
      <c r="N1470" s="7">
        <v>23</v>
      </c>
      <c r="O1470" s="7" t="s">
        <v>42</v>
      </c>
      <c r="P1470" s="7" t="s">
        <v>43</v>
      </c>
      <c r="Q1470" s="7">
        <v>0</v>
      </c>
      <c r="R1470" s="7">
        <v>0</v>
      </c>
      <c r="S1470" s="7">
        <v>0</v>
      </c>
      <c r="T1470" s="7">
        <v>0</v>
      </c>
      <c r="U1470" s="7">
        <v>7</v>
      </c>
      <c r="V1470" s="7" t="s">
        <v>7544</v>
      </c>
      <c r="W1470" s="7">
        <v>0</v>
      </c>
      <c r="X1470" s="7">
        <v>7</v>
      </c>
      <c r="Y1470" s="7">
        <v>4</v>
      </c>
      <c r="Z1470" s="7">
        <v>3</v>
      </c>
      <c r="AA1470" s="7">
        <v>1</v>
      </c>
      <c r="AB1470" s="7">
        <v>1</v>
      </c>
      <c r="AC1470" s="7" t="s">
        <v>0</v>
      </c>
      <c r="AD1470" s="7">
        <v>1</v>
      </c>
      <c r="AE1470" s="7" t="s">
        <v>532</v>
      </c>
    </row>
    <row r="1471" spans="1:31" ht="25.5" x14ac:dyDescent="0.2">
      <c r="A1471" s="8" t="str">
        <f>HYPERLINK("http://www.patentics.cn/invokexml.do?sx=showpatent_cn&amp;sf=ShowPatent&amp;spn=CN101529917B&amp;sx=showpatent_cn&amp;sv=ecdeb33aa95b973bfdbb06e28071f958","CN101529917B")</f>
        <v>CN101529917B</v>
      </c>
      <c r="B1471" s="9" t="s">
        <v>3017</v>
      </c>
      <c r="C1471" s="9" t="s">
        <v>3018</v>
      </c>
      <c r="D1471" s="9" t="s">
        <v>301</v>
      </c>
      <c r="E1471" s="9" t="s">
        <v>301</v>
      </c>
      <c r="F1471" s="9" t="s">
        <v>3019</v>
      </c>
      <c r="G1471" s="9" t="s">
        <v>3019</v>
      </c>
      <c r="H1471" s="9" t="s">
        <v>3020</v>
      </c>
      <c r="I1471" s="9" t="s">
        <v>2844</v>
      </c>
      <c r="J1471" s="9" t="s">
        <v>3021</v>
      </c>
      <c r="K1471" s="9" t="s">
        <v>714</v>
      </c>
      <c r="L1471" s="9" t="s">
        <v>1388</v>
      </c>
      <c r="M1471" s="9">
        <v>17</v>
      </c>
      <c r="N1471" s="9">
        <v>20</v>
      </c>
      <c r="O1471" s="9" t="s">
        <v>57</v>
      </c>
      <c r="P1471" s="9" t="s">
        <v>58</v>
      </c>
      <c r="Q1471" s="9">
        <v>4</v>
      </c>
      <c r="R1471" s="9">
        <v>0</v>
      </c>
      <c r="S1471" s="9">
        <v>4</v>
      </c>
      <c r="T1471" s="9">
        <v>3</v>
      </c>
      <c r="U1471" s="9">
        <v>0</v>
      </c>
      <c r="V1471" s="9" t="s">
        <v>114</v>
      </c>
      <c r="W1471" s="9">
        <v>0</v>
      </c>
      <c r="X1471" s="9">
        <v>0</v>
      </c>
      <c r="Y1471" s="9">
        <v>0</v>
      </c>
      <c r="Z1471" s="9">
        <v>0</v>
      </c>
      <c r="AA1471" s="9">
        <v>17</v>
      </c>
      <c r="AB1471" s="9">
        <v>9</v>
      </c>
      <c r="AC1471" s="9">
        <v>14</v>
      </c>
      <c r="AD1471" s="9" t="s">
        <v>0</v>
      </c>
      <c r="AE1471" s="9" t="s">
        <v>60</v>
      </c>
    </row>
    <row r="1472" spans="1:31" ht="51" x14ac:dyDescent="0.2">
      <c r="A1472" s="6" t="str">
        <f>HYPERLINK("http://www.patentics.cn/invokexml.do?sx=showpatent_cn&amp;sf=ShowPatent&amp;spn=CN1776450&amp;sx=showpatent_cn&amp;sv=b3ffcf425b85db64b48d2da5b56ce590","CN1776450")</f>
        <v>CN1776450</v>
      </c>
      <c r="B1472" s="7" t="s">
        <v>7545</v>
      </c>
      <c r="C1472" s="7" t="s">
        <v>7546</v>
      </c>
      <c r="D1472" s="7" t="s">
        <v>7547</v>
      </c>
      <c r="E1472" s="7" t="s">
        <v>7547</v>
      </c>
      <c r="F1472" s="7" t="s">
        <v>7548</v>
      </c>
      <c r="G1472" s="7" t="s">
        <v>7549</v>
      </c>
      <c r="H1472" s="7" t="s">
        <v>127</v>
      </c>
      <c r="I1472" s="7" t="s">
        <v>127</v>
      </c>
      <c r="J1472" s="7" t="s">
        <v>7543</v>
      </c>
      <c r="K1472" s="7" t="s">
        <v>1142</v>
      </c>
      <c r="L1472" s="7" t="s">
        <v>7550</v>
      </c>
      <c r="M1472" s="7">
        <v>2</v>
      </c>
      <c r="N1472" s="7">
        <v>6</v>
      </c>
      <c r="O1472" s="7" t="s">
        <v>42</v>
      </c>
      <c r="P1472" s="7" t="s">
        <v>43</v>
      </c>
      <c r="Q1472" s="7">
        <v>0</v>
      </c>
      <c r="R1472" s="7">
        <v>0</v>
      </c>
      <c r="S1472" s="7">
        <v>0</v>
      </c>
      <c r="T1472" s="7">
        <v>0</v>
      </c>
      <c r="U1472" s="7">
        <v>4</v>
      </c>
      <c r="V1472" s="7" t="s">
        <v>4317</v>
      </c>
      <c r="W1472" s="7">
        <v>0</v>
      </c>
      <c r="X1472" s="7">
        <v>4</v>
      </c>
      <c r="Y1472" s="7">
        <v>3</v>
      </c>
      <c r="Z1472" s="7">
        <v>2</v>
      </c>
      <c r="AA1472" s="7">
        <v>1</v>
      </c>
      <c r="AB1472" s="7">
        <v>1</v>
      </c>
      <c r="AC1472" s="7" t="s">
        <v>0</v>
      </c>
      <c r="AD1472" s="7">
        <v>1</v>
      </c>
      <c r="AE1472" s="7" t="s">
        <v>532</v>
      </c>
    </row>
    <row r="1473" spans="1:31" ht="38.25" x14ac:dyDescent="0.2">
      <c r="A1473" s="8" t="str">
        <f>HYPERLINK("http://www.patentics.cn/invokexml.do?sx=showpatent_cn&amp;sf=ShowPatent&amp;spn=US8040590&amp;sx=showpatent_cn&amp;sv=754c3523416cd6fce4e311af9a82a4fb","US8040590")</f>
        <v>US8040590</v>
      </c>
      <c r="B1473" s="9" t="s">
        <v>7551</v>
      </c>
      <c r="C1473" s="9" t="s">
        <v>7552</v>
      </c>
      <c r="D1473" s="9" t="s">
        <v>7553</v>
      </c>
      <c r="E1473" s="9" t="s">
        <v>49</v>
      </c>
      <c r="F1473" s="9" t="s">
        <v>7554</v>
      </c>
      <c r="G1473" s="9" t="s">
        <v>7554</v>
      </c>
      <c r="H1473" s="9" t="s">
        <v>4592</v>
      </c>
      <c r="I1473" s="9" t="s">
        <v>4592</v>
      </c>
      <c r="J1473" s="9" t="s">
        <v>1494</v>
      </c>
      <c r="K1473" s="9" t="s">
        <v>622</v>
      </c>
      <c r="L1473" s="9" t="s">
        <v>631</v>
      </c>
      <c r="M1473" s="9">
        <v>26</v>
      </c>
      <c r="N1473" s="9">
        <v>14</v>
      </c>
      <c r="O1473" s="9" t="s">
        <v>57</v>
      </c>
      <c r="P1473" s="9" t="s">
        <v>58</v>
      </c>
      <c r="Q1473" s="9">
        <v>18</v>
      </c>
      <c r="R1473" s="9">
        <v>1</v>
      </c>
      <c r="S1473" s="9">
        <v>17</v>
      </c>
      <c r="T1473" s="9">
        <v>13</v>
      </c>
      <c r="U1473" s="9">
        <v>1</v>
      </c>
      <c r="V1473" s="9" t="s">
        <v>321</v>
      </c>
      <c r="W1473" s="9">
        <v>1</v>
      </c>
      <c r="X1473" s="9">
        <v>0</v>
      </c>
      <c r="Y1473" s="9">
        <v>1</v>
      </c>
      <c r="Z1473" s="9">
        <v>1</v>
      </c>
      <c r="AA1473" s="9">
        <v>4</v>
      </c>
      <c r="AB1473" s="9">
        <v>3</v>
      </c>
      <c r="AC1473" s="9">
        <v>14</v>
      </c>
      <c r="AD1473" s="9" t="s">
        <v>0</v>
      </c>
      <c r="AE1473" s="9" t="s">
        <v>532</v>
      </c>
    </row>
    <row r="1474" spans="1:31" ht="25.5" x14ac:dyDescent="0.2">
      <c r="A1474" s="6" t="str">
        <f>HYPERLINK("http://www.patentics.cn/invokexml.do?sx=showpatent_cn&amp;sf=ShowPatent&amp;spn=CN1774768&amp;sx=showpatent_cn&amp;sv=0e5c51bacc1a9e1a71fec54e32877ce1","CN1774768")</f>
        <v>CN1774768</v>
      </c>
      <c r="B1474" s="7" t="s">
        <v>7555</v>
      </c>
      <c r="C1474" s="7" t="s">
        <v>7556</v>
      </c>
      <c r="D1474" s="7" t="s">
        <v>2590</v>
      </c>
      <c r="E1474" s="7" t="s">
        <v>2591</v>
      </c>
      <c r="F1474" s="7" t="s">
        <v>7557</v>
      </c>
      <c r="G1474" s="7" t="s">
        <v>7558</v>
      </c>
      <c r="H1474" s="7" t="s">
        <v>7559</v>
      </c>
      <c r="I1474" s="7" t="s">
        <v>7560</v>
      </c>
      <c r="J1474" s="7" t="s">
        <v>7561</v>
      </c>
      <c r="K1474" s="7" t="s">
        <v>3305</v>
      </c>
      <c r="L1474" s="7" t="s">
        <v>7562</v>
      </c>
      <c r="M1474" s="7">
        <v>190</v>
      </c>
      <c r="N1474" s="7">
        <v>19</v>
      </c>
      <c r="O1474" s="7" t="s">
        <v>42</v>
      </c>
      <c r="P1474" s="7" t="s">
        <v>58</v>
      </c>
      <c r="Q1474" s="7">
        <v>0</v>
      </c>
      <c r="R1474" s="7">
        <v>0</v>
      </c>
      <c r="S1474" s="7">
        <v>0</v>
      </c>
      <c r="T1474" s="7">
        <v>0</v>
      </c>
      <c r="U1474" s="7">
        <v>5</v>
      </c>
      <c r="V1474" s="7" t="s">
        <v>2227</v>
      </c>
      <c r="W1474" s="7">
        <v>0</v>
      </c>
      <c r="X1474" s="7">
        <v>5</v>
      </c>
      <c r="Y1474" s="7">
        <v>4</v>
      </c>
      <c r="Z1474" s="7">
        <v>1</v>
      </c>
      <c r="AA1474" s="7">
        <v>21</v>
      </c>
      <c r="AB1474" s="7">
        <v>8</v>
      </c>
      <c r="AC1474" s="7" t="s">
        <v>0</v>
      </c>
      <c r="AD1474" s="7">
        <v>1</v>
      </c>
      <c r="AE1474" s="7" t="s">
        <v>45</v>
      </c>
    </row>
    <row r="1475" spans="1:31" ht="38.25" x14ac:dyDescent="0.2">
      <c r="A1475" s="8" t="str">
        <f>HYPERLINK("http://www.patentics.cn/invokexml.do?sx=showpatent_cn&amp;sf=ShowPatent&amp;spn=CN105474321B&amp;sx=showpatent_cn&amp;sv=c205a56a5a48a6f6bc018312eea2c44b","CN105474321B")</f>
        <v>CN105474321B</v>
      </c>
      <c r="B1475" s="9" t="s">
        <v>7563</v>
      </c>
      <c r="C1475" s="9" t="s">
        <v>7564</v>
      </c>
      <c r="D1475" s="9" t="s">
        <v>301</v>
      </c>
      <c r="E1475" s="9" t="s">
        <v>301</v>
      </c>
      <c r="F1475" s="9" t="s">
        <v>7565</v>
      </c>
      <c r="G1475" s="9" t="s">
        <v>7566</v>
      </c>
      <c r="H1475" s="9" t="s">
        <v>7567</v>
      </c>
      <c r="I1475" s="9" t="s">
        <v>3298</v>
      </c>
      <c r="J1475" s="9" t="s">
        <v>3404</v>
      </c>
      <c r="K1475" s="9" t="s">
        <v>3305</v>
      </c>
      <c r="L1475" s="9" t="s">
        <v>7562</v>
      </c>
      <c r="M1475" s="9">
        <v>29</v>
      </c>
      <c r="N1475" s="9">
        <v>7</v>
      </c>
      <c r="O1475" s="9" t="s">
        <v>57</v>
      </c>
      <c r="P1475" s="9" t="s">
        <v>58</v>
      </c>
      <c r="Q1475" s="9">
        <v>4</v>
      </c>
      <c r="R1475" s="9">
        <v>0</v>
      </c>
      <c r="S1475" s="9">
        <v>4</v>
      </c>
      <c r="T1475" s="9">
        <v>4</v>
      </c>
      <c r="U1475" s="9">
        <v>0</v>
      </c>
      <c r="V1475" s="9" t="s">
        <v>114</v>
      </c>
      <c r="W1475" s="9">
        <v>0</v>
      </c>
      <c r="X1475" s="9">
        <v>0</v>
      </c>
      <c r="Y1475" s="9">
        <v>0</v>
      </c>
      <c r="Z1475" s="9">
        <v>0</v>
      </c>
      <c r="AA1475" s="9">
        <v>0</v>
      </c>
      <c r="AB1475" s="9">
        <v>0</v>
      </c>
      <c r="AC1475" s="9">
        <v>14</v>
      </c>
      <c r="AD1475" s="9" t="s">
        <v>0</v>
      </c>
      <c r="AE1475" s="9" t="s">
        <v>60</v>
      </c>
    </row>
    <row r="1476" spans="1:31" ht="25.5" x14ac:dyDescent="0.2">
      <c r="A1476" s="6" t="str">
        <f>HYPERLINK("http://www.patentics.cn/invokexml.do?sx=showpatent_cn&amp;sf=ShowPatent&amp;spn=CN1753031&amp;sx=showpatent_cn&amp;sv=ba26c14f5411d740ace83f6701baeb0c","CN1753031")</f>
        <v>CN1753031</v>
      </c>
      <c r="B1476" s="7" t="s">
        <v>7568</v>
      </c>
      <c r="C1476" s="7" t="s">
        <v>7569</v>
      </c>
      <c r="D1476" s="7" t="s">
        <v>932</v>
      </c>
      <c r="E1476" s="7" t="s">
        <v>932</v>
      </c>
      <c r="F1476" s="7" t="s">
        <v>7570</v>
      </c>
      <c r="G1476" s="7" t="s">
        <v>7571</v>
      </c>
      <c r="H1476" s="7" t="s">
        <v>7572</v>
      </c>
      <c r="I1476" s="7" t="s">
        <v>7572</v>
      </c>
      <c r="J1476" s="7" t="s">
        <v>7573</v>
      </c>
      <c r="K1476" s="7" t="s">
        <v>2163</v>
      </c>
      <c r="L1476" s="7" t="s">
        <v>7574</v>
      </c>
      <c r="M1476" s="7">
        <v>4</v>
      </c>
      <c r="N1476" s="7">
        <v>37</v>
      </c>
      <c r="O1476" s="7" t="s">
        <v>42</v>
      </c>
      <c r="P1476" s="7" t="s">
        <v>43</v>
      </c>
      <c r="Q1476" s="7">
        <v>0</v>
      </c>
      <c r="R1476" s="7">
        <v>0</v>
      </c>
      <c r="S1476" s="7">
        <v>0</v>
      </c>
      <c r="T1476" s="7">
        <v>0</v>
      </c>
      <c r="U1476" s="7">
        <v>10</v>
      </c>
      <c r="V1476" s="7" t="s">
        <v>7575</v>
      </c>
      <c r="W1476" s="7">
        <v>0</v>
      </c>
      <c r="X1476" s="7">
        <v>10</v>
      </c>
      <c r="Y1476" s="7">
        <v>8</v>
      </c>
      <c r="Z1476" s="7">
        <v>3</v>
      </c>
      <c r="AA1476" s="7">
        <v>1</v>
      </c>
      <c r="AB1476" s="7">
        <v>1</v>
      </c>
      <c r="AC1476" s="7" t="s">
        <v>0</v>
      </c>
      <c r="AD1476" s="7">
        <v>1</v>
      </c>
      <c r="AE1476" s="7" t="s">
        <v>532</v>
      </c>
    </row>
    <row r="1477" spans="1:31" ht="51" x14ac:dyDescent="0.2">
      <c r="A1477" s="8" t="str">
        <f>HYPERLINK("http://www.patentics.cn/invokexml.do?sx=showpatent_cn&amp;sf=ShowPatent&amp;spn=CN101496066B&amp;sx=showpatent_cn&amp;sv=142101daebc3c940cae271b166e3e51e","CN101496066B")</f>
        <v>CN101496066B</v>
      </c>
      <c r="B1477" s="9" t="s">
        <v>7576</v>
      </c>
      <c r="C1477" s="9" t="s">
        <v>7577</v>
      </c>
      <c r="D1477" s="9" t="s">
        <v>301</v>
      </c>
      <c r="E1477" s="9" t="s">
        <v>301</v>
      </c>
      <c r="F1477" s="9" t="s">
        <v>7578</v>
      </c>
      <c r="G1477" s="9" t="s">
        <v>7579</v>
      </c>
      <c r="H1477" s="9" t="s">
        <v>7580</v>
      </c>
      <c r="I1477" s="9" t="s">
        <v>7581</v>
      </c>
      <c r="J1477" s="9" t="s">
        <v>3250</v>
      </c>
      <c r="K1477" s="9" t="s">
        <v>2163</v>
      </c>
      <c r="L1477" s="9" t="s">
        <v>6035</v>
      </c>
      <c r="M1477" s="9">
        <v>41</v>
      </c>
      <c r="N1477" s="9">
        <v>20</v>
      </c>
      <c r="O1477" s="9" t="s">
        <v>57</v>
      </c>
      <c r="P1477" s="9" t="s">
        <v>58</v>
      </c>
      <c r="Q1477" s="9">
        <v>5</v>
      </c>
      <c r="R1477" s="9">
        <v>0</v>
      </c>
      <c r="S1477" s="9">
        <v>5</v>
      </c>
      <c r="T1477" s="9">
        <v>4</v>
      </c>
      <c r="U1477" s="9">
        <v>0</v>
      </c>
      <c r="V1477" s="9" t="s">
        <v>114</v>
      </c>
      <c r="W1477" s="9">
        <v>0</v>
      </c>
      <c r="X1477" s="9">
        <v>0</v>
      </c>
      <c r="Y1477" s="9">
        <v>0</v>
      </c>
      <c r="Z1477" s="9">
        <v>0</v>
      </c>
      <c r="AA1477" s="9">
        <v>9</v>
      </c>
      <c r="AB1477" s="9">
        <v>6</v>
      </c>
      <c r="AC1477" s="9">
        <v>14</v>
      </c>
      <c r="AD1477" s="9" t="s">
        <v>0</v>
      </c>
      <c r="AE1477" s="9" t="s">
        <v>60</v>
      </c>
    </row>
    <row r="1478" spans="1:31" ht="38.25" x14ac:dyDescent="0.2">
      <c r="A1478" s="6" t="str">
        <f>HYPERLINK("http://www.patentics.cn/invokexml.do?sx=showpatent_cn&amp;sf=ShowPatent&amp;spn=CN1747507&amp;sx=showpatent_cn&amp;sv=b7064fc5dc5ad239e2b422e753a24e33","CN1747507")</f>
        <v>CN1747507</v>
      </c>
      <c r="B1478" s="7" t="s">
        <v>7582</v>
      </c>
      <c r="C1478" s="7" t="s">
        <v>7583</v>
      </c>
      <c r="D1478" s="7" t="s">
        <v>923</v>
      </c>
      <c r="E1478" s="7" t="s">
        <v>923</v>
      </c>
      <c r="F1478" s="7" t="s">
        <v>7584</v>
      </c>
      <c r="G1478" s="7" t="s">
        <v>7585</v>
      </c>
      <c r="H1478" s="7" t="s">
        <v>0</v>
      </c>
      <c r="I1478" s="7" t="s">
        <v>7586</v>
      </c>
      <c r="J1478" s="7" t="s">
        <v>1101</v>
      </c>
      <c r="K1478" s="7" t="s">
        <v>229</v>
      </c>
      <c r="L1478" s="7" t="s">
        <v>7587</v>
      </c>
      <c r="M1478" s="7">
        <v>5</v>
      </c>
      <c r="N1478" s="7">
        <v>45</v>
      </c>
      <c r="O1478" s="7" t="s">
        <v>42</v>
      </c>
      <c r="P1478" s="7" t="s">
        <v>43</v>
      </c>
      <c r="Q1478" s="7">
        <v>0</v>
      </c>
      <c r="R1478" s="7">
        <v>0</v>
      </c>
      <c r="S1478" s="7">
        <v>0</v>
      </c>
      <c r="T1478" s="7">
        <v>0</v>
      </c>
      <c r="U1478" s="7">
        <v>15</v>
      </c>
      <c r="V1478" s="7" t="s">
        <v>7588</v>
      </c>
      <c r="W1478" s="7">
        <v>0</v>
      </c>
      <c r="X1478" s="7">
        <v>15</v>
      </c>
      <c r="Y1478" s="7">
        <v>9</v>
      </c>
      <c r="Z1478" s="7">
        <v>2</v>
      </c>
      <c r="AA1478" s="7">
        <v>0</v>
      </c>
      <c r="AB1478" s="7">
        <v>0</v>
      </c>
      <c r="AC1478" s="7" t="s">
        <v>0</v>
      </c>
      <c r="AD1478" s="7">
        <v>1</v>
      </c>
      <c r="AE1478" s="7" t="s">
        <v>45</v>
      </c>
    </row>
    <row r="1479" spans="1:31" ht="38.25" x14ac:dyDescent="0.2">
      <c r="A1479" s="8" t="str">
        <f>HYPERLINK("http://www.patentics.cn/invokexml.do?sx=showpatent_cn&amp;sf=ShowPatent&amp;spn=CN104603854B&amp;sx=showpatent_cn&amp;sv=9faaa4b5a69c4a1a99aec5d3f2eceaf6","CN104603854B")</f>
        <v>CN104603854B</v>
      </c>
      <c r="B1479" s="9" t="s">
        <v>7589</v>
      </c>
      <c r="C1479" s="9" t="s">
        <v>7590</v>
      </c>
      <c r="D1479" s="9" t="s">
        <v>301</v>
      </c>
      <c r="E1479" s="9" t="s">
        <v>301</v>
      </c>
      <c r="F1479" s="9" t="s">
        <v>7591</v>
      </c>
      <c r="G1479" s="9" t="s">
        <v>7592</v>
      </c>
      <c r="H1479" s="9" t="s">
        <v>7593</v>
      </c>
      <c r="I1479" s="9" t="s">
        <v>7594</v>
      </c>
      <c r="J1479" s="9" t="s">
        <v>7595</v>
      </c>
      <c r="K1479" s="9" t="s">
        <v>557</v>
      </c>
      <c r="L1479" s="9" t="s">
        <v>7596</v>
      </c>
      <c r="M1479" s="9">
        <v>31</v>
      </c>
      <c r="N1479" s="9">
        <v>30</v>
      </c>
      <c r="O1479" s="9" t="s">
        <v>57</v>
      </c>
      <c r="P1479" s="9" t="s">
        <v>58</v>
      </c>
      <c r="Q1479" s="9">
        <v>4</v>
      </c>
      <c r="R1479" s="9">
        <v>0</v>
      </c>
      <c r="S1479" s="9">
        <v>4</v>
      </c>
      <c r="T1479" s="9">
        <v>4</v>
      </c>
      <c r="U1479" s="9">
        <v>0</v>
      </c>
      <c r="V1479" s="9" t="s">
        <v>114</v>
      </c>
      <c r="W1479" s="9">
        <v>0</v>
      </c>
      <c r="X1479" s="9">
        <v>0</v>
      </c>
      <c r="Y1479" s="9">
        <v>0</v>
      </c>
      <c r="Z1479" s="9">
        <v>0</v>
      </c>
      <c r="AA1479" s="9">
        <v>0</v>
      </c>
      <c r="AB1479" s="9">
        <v>0</v>
      </c>
      <c r="AC1479" s="9">
        <v>14</v>
      </c>
      <c r="AD1479" s="9" t="s">
        <v>0</v>
      </c>
      <c r="AE1479" s="9" t="s">
        <v>60</v>
      </c>
    </row>
    <row r="1480" spans="1:31" ht="25.5" x14ac:dyDescent="0.2">
      <c r="A1480" s="6" t="str">
        <f>HYPERLINK("http://www.patentics.cn/invokexml.do?sx=showpatent_cn&amp;sf=ShowPatent&amp;spn=CN1744523&amp;sx=showpatent_cn&amp;sv=35610087eee05105b1e8c3bdc7c67928","CN1744523")</f>
        <v>CN1744523</v>
      </c>
      <c r="B1480" s="7" t="s">
        <v>7597</v>
      </c>
      <c r="C1480" s="7" t="s">
        <v>7598</v>
      </c>
      <c r="D1480" s="7" t="s">
        <v>3285</v>
      </c>
      <c r="E1480" s="7" t="s">
        <v>3285</v>
      </c>
      <c r="F1480" s="7" t="s">
        <v>7599</v>
      </c>
      <c r="G1480" s="7" t="s">
        <v>4224</v>
      </c>
      <c r="H1480" s="7" t="s">
        <v>7600</v>
      </c>
      <c r="I1480" s="7" t="s">
        <v>7600</v>
      </c>
      <c r="J1480" s="7" t="s">
        <v>3111</v>
      </c>
      <c r="K1480" s="7" t="s">
        <v>68</v>
      </c>
      <c r="L1480" s="7" t="s">
        <v>2448</v>
      </c>
      <c r="M1480" s="7">
        <v>5</v>
      </c>
      <c r="N1480" s="7">
        <v>50</v>
      </c>
      <c r="O1480" s="7" t="s">
        <v>42</v>
      </c>
      <c r="P1480" s="7" t="s">
        <v>43</v>
      </c>
      <c r="Q1480" s="7">
        <v>0</v>
      </c>
      <c r="R1480" s="7">
        <v>0</v>
      </c>
      <c r="S1480" s="7">
        <v>0</v>
      </c>
      <c r="T1480" s="7">
        <v>0</v>
      </c>
      <c r="U1480" s="7">
        <v>9</v>
      </c>
      <c r="V1480" s="7" t="s">
        <v>7601</v>
      </c>
      <c r="W1480" s="7">
        <v>3</v>
      </c>
      <c r="X1480" s="7">
        <v>6</v>
      </c>
      <c r="Y1480" s="7">
        <v>5</v>
      </c>
      <c r="Z1480" s="7">
        <v>3</v>
      </c>
      <c r="AA1480" s="7">
        <v>1</v>
      </c>
      <c r="AB1480" s="7">
        <v>1</v>
      </c>
      <c r="AC1480" s="7" t="s">
        <v>0</v>
      </c>
      <c r="AD1480" s="7">
        <v>1</v>
      </c>
      <c r="AE1480" s="7" t="s">
        <v>60</v>
      </c>
    </row>
    <row r="1481" spans="1:31" ht="63.75" x14ac:dyDescent="0.2">
      <c r="A1481" s="8" t="str">
        <f>HYPERLINK("http://www.patentics.cn/invokexml.do?sx=showpatent_cn&amp;sf=ShowPatent&amp;spn=CN101416469B&amp;sx=showpatent_cn&amp;sv=5c53cb4d6fa4103bb9347bfaef728a96","CN101416469B")</f>
        <v>CN101416469B</v>
      </c>
      <c r="B1481" s="9" t="s">
        <v>7602</v>
      </c>
      <c r="C1481" s="9" t="s">
        <v>7603</v>
      </c>
      <c r="D1481" s="9" t="s">
        <v>301</v>
      </c>
      <c r="E1481" s="9" t="s">
        <v>301</v>
      </c>
      <c r="F1481" s="9" t="s">
        <v>7604</v>
      </c>
      <c r="G1481" s="9" t="s">
        <v>7605</v>
      </c>
      <c r="H1481" s="9" t="s">
        <v>7606</v>
      </c>
      <c r="I1481" s="9" t="s">
        <v>7607</v>
      </c>
      <c r="J1481" s="9" t="s">
        <v>3318</v>
      </c>
      <c r="K1481" s="9" t="s">
        <v>68</v>
      </c>
      <c r="L1481" s="9" t="s">
        <v>2336</v>
      </c>
      <c r="M1481" s="9">
        <v>18</v>
      </c>
      <c r="N1481" s="9">
        <v>10</v>
      </c>
      <c r="O1481" s="9" t="s">
        <v>57</v>
      </c>
      <c r="P1481" s="9" t="s">
        <v>58</v>
      </c>
      <c r="Q1481" s="9">
        <v>5</v>
      </c>
      <c r="R1481" s="9">
        <v>0</v>
      </c>
      <c r="S1481" s="9">
        <v>5</v>
      </c>
      <c r="T1481" s="9">
        <v>4</v>
      </c>
      <c r="U1481" s="9">
        <v>0</v>
      </c>
      <c r="V1481" s="9" t="s">
        <v>114</v>
      </c>
      <c r="W1481" s="9">
        <v>0</v>
      </c>
      <c r="X1481" s="9">
        <v>0</v>
      </c>
      <c r="Y1481" s="9">
        <v>0</v>
      </c>
      <c r="Z1481" s="9">
        <v>0</v>
      </c>
      <c r="AA1481" s="9">
        <v>21</v>
      </c>
      <c r="AB1481" s="9">
        <v>14</v>
      </c>
      <c r="AC1481" s="9">
        <v>14</v>
      </c>
      <c r="AD1481" s="9" t="s">
        <v>0</v>
      </c>
      <c r="AE1481" s="9" t="s">
        <v>60</v>
      </c>
    </row>
    <row r="1482" spans="1:31" ht="25.5" x14ac:dyDescent="0.2">
      <c r="A1482" s="6" t="str">
        <f>HYPERLINK("http://www.patentics.cn/invokexml.do?sx=showpatent_cn&amp;sf=ShowPatent&amp;spn=CN1731394&amp;sx=showpatent_cn&amp;sv=9fa2822c75edf33294734187d3704e55","CN1731394")</f>
        <v>CN1731394</v>
      </c>
      <c r="B1482" s="7" t="s">
        <v>7608</v>
      </c>
      <c r="C1482" s="7" t="s">
        <v>7609</v>
      </c>
      <c r="D1482" s="7" t="s">
        <v>1341</v>
      </c>
      <c r="E1482" s="7" t="s">
        <v>1341</v>
      </c>
      <c r="F1482" s="7" t="s">
        <v>7610</v>
      </c>
      <c r="G1482" s="7" t="s">
        <v>7611</v>
      </c>
      <c r="H1482" s="7" t="s">
        <v>0</v>
      </c>
      <c r="I1482" s="7" t="s">
        <v>7612</v>
      </c>
      <c r="J1482" s="7" t="s">
        <v>2752</v>
      </c>
      <c r="K1482" s="7" t="s">
        <v>885</v>
      </c>
      <c r="L1482" s="7" t="s">
        <v>2325</v>
      </c>
      <c r="M1482" s="7">
        <v>1</v>
      </c>
      <c r="N1482" s="7">
        <v>73</v>
      </c>
      <c r="O1482" s="7" t="s">
        <v>42</v>
      </c>
      <c r="P1482" s="7" t="s">
        <v>43</v>
      </c>
      <c r="Q1482" s="7">
        <v>1</v>
      </c>
      <c r="R1482" s="7">
        <v>0</v>
      </c>
      <c r="S1482" s="7">
        <v>1</v>
      </c>
      <c r="T1482" s="7">
        <v>1</v>
      </c>
      <c r="U1482" s="7">
        <v>6</v>
      </c>
      <c r="V1482" s="7" t="s">
        <v>6784</v>
      </c>
      <c r="W1482" s="7">
        <v>0</v>
      </c>
      <c r="X1482" s="7">
        <v>6</v>
      </c>
      <c r="Y1482" s="7">
        <v>6</v>
      </c>
      <c r="Z1482" s="7">
        <v>2</v>
      </c>
      <c r="AA1482" s="7">
        <v>0</v>
      </c>
      <c r="AB1482" s="7">
        <v>0</v>
      </c>
      <c r="AC1482" s="7" t="s">
        <v>0</v>
      </c>
      <c r="AD1482" s="7">
        <v>1</v>
      </c>
      <c r="AE1482" s="7" t="s">
        <v>45</v>
      </c>
    </row>
    <row r="1483" spans="1:31" ht="25.5" x14ac:dyDescent="0.2">
      <c r="A1483" s="8" t="str">
        <f>HYPERLINK("http://www.patentics.cn/invokexml.do?sx=showpatent_cn&amp;sf=ShowPatent&amp;spn=CN101389928B&amp;sx=showpatent_cn&amp;sv=bd22403413ad2610fa2143655ad07e15","CN101389928B")</f>
        <v>CN101389928B</v>
      </c>
      <c r="B1483" s="9" t="s">
        <v>7613</v>
      </c>
      <c r="C1483" s="9" t="s">
        <v>7614</v>
      </c>
      <c r="D1483" s="9" t="s">
        <v>301</v>
      </c>
      <c r="E1483" s="9" t="s">
        <v>301</v>
      </c>
      <c r="F1483" s="9" t="s">
        <v>7615</v>
      </c>
      <c r="G1483" s="9" t="s">
        <v>7615</v>
      </c>
      <c r="H1483" s="9" t="s">
        <v>1101</v>
      </c>
      <c r="I1483" s="9" t="s">
        <v>7616</v>
      </c>
      <c r="J1483" s="9" t="s">
        <v>3916</v>
      </c>
      <c r="K1483" s="9" t="s">
        <v>937</v>
      </c>
      <c r="L1483" s="9" t="s">
        <v>7617</v>
      </c>
      <c r="M1483" s="9">
        <v>29</v>
      </c>
      <c r="N1483" s="9">
        <v>18</v>
      </c>
      <c r="O1483" s="9" t="s">
        <v>57</v>
      </c>
      <c r="P1483" s="9" t="s">
        <v>58</v>
      </c>
      <c r="Q1483" s="9">
        <v>3</v>
      </c>
      <c r="R1483" s="9">
        <v>0</v>
      </c>
      <c r="S1483" s="9">
        <v>3</v>
      </c>
      <c r="T1483" s="9">
        <v>3</v>
      </c>
      <c r="U1483" s="9">
        <v>0</v>
      </c>
      <c r="V1483" s="9" t="s">
        <v>114</v>
      </c>
      <c r="W1483" s="9">
        <v>0</v>
      </c>
      <c r="X1483" s="9">
        <v>0</v>
      </c>
      <c r="Y1483" s="9">
        <v>0</v>
      </c>
      <c r="Z1483" s="9">
        <v>0</v>
      </c>
      <c r="AA1483" s="9">
        <v>10</v>
      </c>
      <c r="AB1483" s="9">
        <v>6</v>
      </c>
      <c r="AC1483" s="9">
        <v>14</v>
      </c>
      <c r="AD1483" s="9" t="s">
        <v>0</v>
      </c>
      <c r="AE1483" s="9" t="s">
        <v>60</v>
      </c>
    </row>
    <row r="1484" spans="1:31" ht="63.75" x14ac:dyDescent="0.2">
      <c r="A1484" s="6" t="str">
        <f>HYPERLINK("http://www.patentics.cn/invokexml.do?sx=showpatent_cn&amp;sf=ShowPatent&amp;spn=CN1719818&amp;sx=showpatent_cn&amp;sv=b706cb71486cc85bb2a814b148231752","CN1719818")</f>
        <v>CN1719818</v>
      </c>
      <c r="B1484" s="7" t="s">
        <v>7618</v>
      </c>
      <c r="C1484" s="7" t="s">
        <v>7619</v>
      </c>
      <c r="D1484" s="7" t="s">
        <v>7620</v>
      </c>
      <c r="E1484" s="7" t="s">
        <v>7621</v>
      </c>
      <c r="F1484" s="7" t="s">
        <v>7622</v>
      </c>
      <c r="G1484" s="7" t="s">
        <v>7623</v>
      </c>
      <c r="H1484" s="7" t="s">
        <v>2857</v>
      </c>
      <c r="I1484" s="7" t="s">
        <v>2857</v>
      </c>
      <c r="J1484" s="7" t="s">
        <v>2864</v>
      </c>
      <c r="K1484" s="7" t="s">
        <v>68</v>
      </c>
      <c r="L1484" s="7" t="s">
        <v>281</v>
      </c>
      <c r="M1484" s="7">
        <v>3</v>
      </c>
      <c r="N1484" s="7">
        <v>70</v>
      </c>
      <c r="O1484" s="7" t="s">
        <v>42</v>
      </c>
      <c r="P1484" s="7" t="s">
        <v>43</v>
      </c>
      <c r="Q1484" s="7">
        <v>0</v>
      </c>
      <c r="R1484" s="7">
        <v>0</v>
      </c>
      <c r="S1484" s="7">
        <v>0</v>
      </c>
      <c r="T1484" s="7">
        <v>0</v>
      </c>
      <c r="U1484" s="7">
        <v>16</v>
      </c>
      <c r="V1484" s="7" t="s">
        <v>7624</v>
      </c>
      <c r="W1484" s="7">
        <v>2</v>
      </c>
      <c r="X1484" s="7">
        <v>14</v>
      </c>
      <c r="Y1484" s="7">
        <v>10</v>
      </c>
      <c r="Z1484" s="7">
        <v>2</v>
      </c>
      <c r="AA1484" s="7">
        <v>1</v>
      </c>
      <c r="AB1484" s="7">
        <v>1</v>
      </c>
      <c r="AC1484" s="7" t="s">
        <v>0</v>
      </c>
      <c r="AD1484" s="7">
        <v>1</v>
      </c>
      <c r="AE1484" s="7" t="s">
        <v>60</v>
      </c>
    </row>
    <row r="1485" spans="1:31" ht="63.75" x14ac:dyDescent="0.2">
      <c r="A1485" s="8" t="str">
        <f>HYPERLINK("http://www.patentics.cn/invokexml.do?sx=showpatent_cn&amp;sf=ShowPatent&amp;spn=US8295371&amp;sx=showpatent_cn&amp;sv=a962bee4be43b43395053c29c08a0406","US8295371")</f>
        <v>US8295371</v>
      </c>
      <c r="B1485" s="9" t="s">
        <v>7625</v>
      </c>
      <c r="C1485" s="9" t="s">
        <v>7626</v>
      </c>
      <c r="D1485" s="9" t="s">
        <v>117</v>
      </c>
      <c r="E1485" s="9" t="s">
        <v>49</v>
      </c>
      <c r="F1485" s="9" t="s">
        <v>7627</v>
      </c>
      <c r="G1485" s="9" t="s">
        <v>2095</v>
      </c>
      <c r="H1485" s="9" t="s">
        <v>2096</v>
      </c>
      <c r="I1485" s="9" t="s">
        <v>2097</v>
      </c>
      <c r="J1485" s="9" t="s">
        <v>2277</v>
      </c>
      <c r="K1485" s="9" t="s">
        <v>68</v>
      </c>
      <c r="L1485" s="9" t="s">
        <v>69</v>
      </c>
      <c r="M1485" s="9">
        <v>44</v>
      </c>
      <c r="N1485" s="9">
        <v>16</v>
      </c>
      <c r="O1485" s="9" t="s">
        <v>57</v>
      </c>
      <c r="P1485" s="9" t="s">
        <v>58</v>
      </c>
      <c r="Q1485" s="9">
        <v>41</v>
      </c>
      <c r="R1485" s="9">
        <v>10</v>
      </c>
      <c r="S1485" s="9">
        <v>31</v>
      </c>
      <c r="T1485" s="9">
        <v>22</v>
      </c>
      <c r="U1485" s="9">
        <v>3</v>
      </c>
      <c r="V1485" s="9" t="s">
        <v>384</v>
      </c>
      <c r="W1485" s="9">
        <v>1</v>
      </c>
      <c r="X1485" s="9">
        <v>2</v>
      </c>
      <c r="Y1485" s="9">
        <v>3</v>
      </c>
      <c r="Z1485" s="9">
        <v>1</v>
      </c>
      <c r="AA1485" s="9">
        <v>10</v>
      </c>
      <c r="AB1485" s="9">
        <v>7</v>
      </c>
      <c r="AC1485" s="9">
        <v>14</v>
      </c>
      <c r="AD1485" s="9" t="s">
        <v>0</v>
      </c>
      <c r="AE1485" s="9" t="s">
        <v>60</v>
      </c>
    </row>
    <row r="1486" spans="1:31" ht="25.5" x14ac:dyDescent="0.2">
      <c r="A1486" s="6" t="str">
        <f>HYPERLINK("http://www.patentics.cn/invokexml.do?sx=showpatent_cn&amp;sf=ShowPatent&amp;spn=CN1710825&amp;sx=showpatent_cn&amp;sv=2bfbfbca389a2ec0723b555d6bcc7398","CN1710825")</f>
        <v>CN1710825</v>
      </c>
      <c r="B1486" s="7" t="s">
        <v>7628</v>
      </c>
      <c r="C1486" s="7" t="s">
        <v>7629</v>
      </c>
      <c r="D1486" s="7" t="s">
        <v>2320</v>
      </c>
      <c r="E1486" s="7" t="s">
        <v>2320</v>
      </c>
      <c r="F1486" s="7" t="s">
        <v>7630</v>
      </c>
      <c r="G1486" s="7" t="s">
        <v>7304</v>
      </c>
      <c r="H1486" s="7" t="s">
        <v>7631</v>
      </c>
      <c r="I1486" s="7" t="s">
        <v>7631</v>
      </c>
      <c r="J1486" s="7" t="s">
        <v>2858</v>
      </c>
      <c r="K1486" s="7" t="s">
        <v>89</v>
      </c>
      <c r="L1486" s="7" t="s">
        <v>294</v>
      </c>
      <c r="M1486" s="7">
        <v>2</v>
      </c>
      <c r="N1486" s="7">
        <v>35</v>
      </c>
      <c r="O1486" s="7" t="s">
        <v>42</v>
      </c>
      <c r="P1486" s="7" t="s">
        <v>43</v>
      </c>
      <c r="Q1486" s="7">
        <v>0</v>
      </c>
      <c r="R1486" s="7">
        <v>0</v>
      </c>
      <c r="S1486" s="7">
        <v>0</v>
      </c>
      <c r="T1486" s="7">
        <v>0</v>
      </c>
      <c r="U1486" s="7">
        <v>11</v>
      </c>
      <c r="V1486" s="7" t="s">
        <v>7632</v>
      </c>
      <c r="W1486" s="7">
        <v>0</v>
      </c>
      <c r="X1486" s="7">
        <v>11</v>
      </c>
      <c r="Y1486" s="7">
        <v>6</v>
      </c>
      <c r="Z1486" s="7">
        <v>3</v>
      </c>
      <c r="AA1486" s="7">
        <v>1</v>
      </c>
      <c r="AB1486" s="7">
        <v>1</v>
      </c>
      <c r="AC1486" s="7" t="s">
        <v>0</v>
      </c>
      <c r="AD1486" s="7">
        <v>1</v>
      </c>
      <c r="AE1486" s="7" t="s">
        <v>532</v>
      </c>
    </row>
    <row r="1487" spans="1:31" ht="38.25" x14ac:dyDescent="0.2">
      <c r="A1487" s="8" t="str">
        <f>HYPERLINK("http://www.patentics.cn/invokexml.do?sx=showpatent_cn&amp;sf=ShowPatent&amp;spn=US9106296&amp;sx=showpatent_cn&amp;sv=3c8d87c1ccf46185864dc2944754da29","US9106296")</f>
        <v>US9106296</v>
      </c>
      <c r="B1487" s="9" t="s">
        <v>7633</v>
      </c>
      <c r="C1487" s="9" t="s">
        <v>7634</v>
      </c>
      <c r="D1487" s="9" t="s">
        <v>48</v>
      </c>
      <c r="E1487" s="9" t="s">
        <v>49</v>
      </c>
      <c r="F1487" s="9" t="s">
        <v>1107</v>
      </c>
      <c r="G1487" s="9" t="s">
        <v>1107</v>
      </c>
      <c r="H1487" s="9" t="s">
        <v>7635</v>
      </c>
      <c r="I1487" s="9" t="s">
        <v>7636</v>
      </c>
      <c r="J1487" s="9" t="s">
        <v>874</v>
      </c>
      <c r="K1487" s="9" t="s">
        <v>68</v>
      </c>
      <c r="L1487" s="9" t="s">
        <v>218</v>
      </c>
      <c r="M1487" s="9">
        <v>23</v>
      </c>
      <c r="N1487" s="9">
        <v>16</v>
      </c>
      <c r="O1487" s="9" t="s">
        <v>57</v>
      </c>
      <c r="P1487" s="9" t="s">
        <v>58</v>
      </c>
      <c r="Q1487" s="9">
        <v>30</v>
      </c>
      <c r="R1487" s="9">
        <v>0</v>
      </c>
      <c r="S1487" s="9">
        <v>30</v>
      </c>
      <c r="T1487" s="9">
        <v>22</v>
      </c>
      <c r="U1487" s="9">
        <v>0</v>
      </c>
      <c r="V1487" s="9" t="s">
        <v>114</v>
      </c>
      <c r="W1487" s="9">
        <v>0</v>
      </c>
      <c r="X1487" s="9">
        <v>0</v>
      </c>
      <c r="Y1487" s="9">
        <v>0</v>
      </c>
      <c r="Z1487" s="9">
        <v>0</v>
      </c>
      <c r="AA1487" s="9">
        <v>26</v>
      </c>
      <c r="AB1487" s="9">
        <v>16</v>
      </c>
      <c r="AC1487" s="9">
        <v>14</v>
      </c>
      <c r="AD1487" s="9" t="s">
        <v>0</v>
      </c>
      <c r="AE1487" s="9" t="s">
        <v>60</v>
      </c>
    </row>
    <row r="1488" spans="1:31" ht="38.25" x14ac:dyDescent="0.2">
      <c r="A1488" s="6" t="str">
        <f>HYPERLINK("http://www.patentics.cn/invokexml.do?sx=showpatent_cn&amp;sf=ShowPatent&amp;spn=CN1697351&amp;sx=showpatent_cn&amp;sv=25f265a8ae98fcea1dd0149d111429a9","CN1697351")</f>
        <v>CN1697351</v>
      </c>
      <c r="B1488" s="7" t="s">
        <v>7637</v>
      </c>
      <c r="C1488" s="7" t="s">
        <v>7638</v>
      </c>
      <c r="D1488" s="7" t="s">
        <v>1097</v>
      </c>
      <c r="E1488" s="7" t="s">
        <v>1097</v>
      </c>
      <c r="F1488" s="7" t="s">
        <v>7639</v>
      </c>
      <c r="G1488" s="7" t="s">
        <v>1099</v>
      </c>
      <c r="H1488" s="7" t="s">
        <v>7640</v>
      </c>
      <c r="I1488" s="7" t="s">
        <v>7640</v>
      </c>
      <c r="J1488" s="7" t="s">
        <v>4208</v>
      </c>
      <c r="K1488" s="7" t="s">
        <v>40</v>
      </c>
      <c r="L1488" s="7" t="s">
        <v>2090</v>
      </c>
      <c r="M1488" s="7">
        <v>10</v>
      </c>
      <c r="N1488" s="7">
        <v>7</v>
      </c>
      <c r="O1488" s="7" t="s">
        <v>42</v>
      </c>
      <c r="P1488" s="7" t="s">
        <v>43</v>
      </c>
      <c r="Q1488" s="7">
        <v>0</v>
      </c>
      <c r="R1488" s="7">
        <v>0</v>
      </c>
      <c r="S1488" s="7">
        <v>0</v>
      </c>
      <c r="T1488" s="7">
        <v>0</v>
      </c>
      <c r="U1488" s="7">
        <v>1</v>
      </c>
      <c r="V1488" s="7" t="s">
        <v>466</v>
      </c>
      <c r="W1488" s="7">
        <v>0</v>
      </c>
      <c r="X1488" s="7">
        <v>1</v>
      </c>
      <c r="Y1488" s="7">
        <v>1</v>
      </c>
      <c r="Z1488" s="7">
        <v>1</v>
      </c>
      <c r="AA1488" s="7">
        <v>1</v>
      </c>
      <c r="AB1488" s="7">
        <v>1</v>
      </c>
      <c r="AC1488" s="7" t="s">
        <v>0</v>
      </c>
      <c r="AD1488" s="7">
        <v>1</v>
      </c>
      <c r="AE1488" s="7" t="s">
        <v>60</v>
      </c>
    </row>
    <row r="1489" spans="1:31" x14ac:dyDescent="0.2">
      <c r="A1489" s="8" t="str">
        <f>HYPERLINK("http://www.patentics.cn/invokexml.do?sx=showpatent_cn&amp;sf=ShowPatent&amp;spn=CN101636932B&amp;sx=showpatent_cn&amp;sv=ae53e2c8dd38d9787d1af8e55c84903f","CN101636932B")</f>
        <v>CN101636932B</v>
      </c>
      <c r="B1489" s="9" t="s">
        <v>7641</v>
      </c>
      <c r="C1489" s="9" t="s">
        <v>7642</v>
      </c>
      <c r="D1489" s="9" t="s">
        <v>301</v>
      </c>
      <c r="E1489" s="9" t="s">
        <v>301</v>
      </c>
      <c r="F1489" s="9" t="s">
        <v>7643</v>
      </c>
      <c r="G1489" s="9" t="s">
        <v>7643</v>
      </c>
      <c r="H1489" s="9" t="s">
        <v>7442</v>
      </c>
      <c r="I1489" s="9" t="s">
        <v>7644</v>
      </c>
      <c r="J1489" s="9" t="s">
        <v>3168</v>
      </c>
      <c r="K1489" s="9" t="s">
        <v>68</v>
      </c>
      <c r="L1489" s="9" t="s">
        <v>281</v>
      </c>
      <c r="M1489" s="9">
        <v>66</v>
      </c>
      <c r="N1489" s="9">
        <v>14</v>
      </c>
      <c r="O1489" s="9" t="s">
        <v>57</v>
      </c>
      <c r="P1489" s="9" t="s">
        <v>58</v>
      </c>
      <c r="Q1489" s="9">
        <v>3</v>
      </c>
      <c r="R1489" s="9">
        <v>1</v>
      </c>
      <c r="S1489" s="9">
        <v>2</v>
      </c>
      <c r="T1489" s="9">
        <v>3</v>
      </c>
      <c r="U1489" s="9">
        <v>0</v>
      </c>
      <c r="V1489" s="9" t="s">
        <v>114</v>
      </c>
      <c r="W1489" s="9">
        <v>0</v>
      </c>
      <c r="X1489" s="9">
        <v>0</v>
      </c>
      <c r="Y1489" s="9">
        <v>0</v>
      </c>
      <c r="Z1489" s="9">
        <v>0</v>
      </c>
      <c r="AA1489" s="9">
        <v>19</v>
      </c>
      <c r="AB1489" s="9">
        <v>13</v>
      </c>
      <c r="AC1489" s="9">
        <v>14</v>
      </c>
      <c r="AD1489" s="9" t="s">
        <v>0</v>
      </c>
      <c r="AE1489" s="9" t="s">
        <v>60</v>
      </c>
    </row>
    <row r="1490" spans="1:31" ht="38.25" x14ac:dyDescent="0.2">
      <c r="A1490" s="6" t="str">
        <f>HYPERLINK("http://www.patentics.cn/invokexml.do?sx=showpatent_cn&amp;sf=ShowPatent&amp;spn=CN1691069&amp;sx=showpatent_cn&amp;sv=d3b3731037e53799a97a8cb091f0af4f","CN1691069")</f>
        <v>CN1691069</v>
      </c>
      <c r="B1490" s="7" t="s">
        <v>7645</v>
      </c>
      <c r="C1490" s="7" t="s">
        <v>7646</v>
      </c>
      <c r="D1490" s="7" t="s">
        <v>7647</v>
      </c>
      <c r="E1490" s="7" t="s">
        <v>7647</v>
      </c>
      <c r="F1490" s="7" t="s">
        <v>7648</v>
      </c>
      <c r="G1490" s="7" t="s">
        <v>7649</v>
      </c>
      <c r="H1490" s="7" t="s">
        <v>7650</v>
      </c>
      <c r="I1490" s="7" t="s">
        <v>7651</v>
      </c>
      <c r="J1490" s="7" t="s">
        <v>4489</v>
      </c>
      <c r="K1490" s="7" t="s">
        <v>2163</v>
      </c>
      <c r="L1490" s="7" t="s">
        <v>7652</v>
      </c>
      <c r="M1490" s="7">
        <v>18</v>
      </c>
      <c r="N1490" s="7">
        <v>20</v>
      </c>
      <c r="O1490" s="7" t="s">
        <v>42</v>
      </c>
      <c r="P1490" s="7" t="s">
        <v>58</v>
      </c>
      <c r="Q1490" s="7">
        <v>0</v>
      </c>
      <c r="R1490" s="7">
        <v>0</v>
      </c>
      <c r="S1490" s="7">
        <v>0</v>
      </c>
      <c r="T1490" s="7">
        <v>0</v>
      </c>
      <c r="U1490" s="7">
        <v>13</v>
      </c>
      <c r="V1490" s="7" t="s">
        <v>7653</v>
      </c>
      <c r="W1490" s="7">
        <v>0</v>
      </c>
      <c r="X1490" s="7">
        <v>13</v>
      </c>
      <c r="Y1490" s="7">
        <v>9</v>
      </c>
      <c r="Z1490" s="7">
        <v>3</v>
      </c>
      <c r="AA1490" s="7">
        <v>7</v>
      </c>
      <c r="AB1490" s="7">
        <v>4</v>
      </c>
      <c r="AC1490" s="7" t="s">
        <v>0</v>
      </c>
      <c r="AD1490" s="7">
        <v>1</v>
      </c>
      <c r="AE1490" s="7" t="s">
        <v>60</v>
      </c>
    </row>
    <row r="1491" spans="1:31" ht="38.25" x14ac:dyDescent="0.2">
      <c r="A1491" s="8" t="str">
        <f>HYPERLINK("http://www.patentics.cn/invokexml.do?sx=showpatent_cn&amp;sf=ShowPatent&amp;spn=CN101578629B&amp;sx=showpatent_cn&amp;sv=a975ef20d7816e56e9b70e29d1d8db40","CN101578629B")</f>
        <v>CN101578629B</v>
      </c>
      <c r="B1491" s="9" t="s">
        <v>7654</v>
      </c>
      <c r="C1491" s="9" t="s">
        <v>7655</v>
      </c>
      <c r="D1491" s="9" t="s">
        <v>301</v>
      </c>
      <c r="E1491" s="9" t="s">
        <v>301</v>
      </c>
      <c r="F1491" s="9" t="s">
        <v>7656</v>
      </c>
      <c r="G1491" s="9" t="s">
        <v>7657</v>
      </c>
      <c r="H1491" s="9" t="s">
        <v>2865</v>
      </c>
      <c r="I1491" s="9" t="s">
        <v>7005</v>
      </c>
      <c r="J1491" s="9" t="s">
        <v>5645</v>
      </c>
      <c r="K1491" s="9" t="s">
        <v>2163</v>
      </c>
      <c r="L1491" s="9" t="s">
        <v>6035</v>
      </c>
      <c r="M1491" s="9">
        <v>11</v>
      </c>
      <c r="N1491" s="9">
        <v>11</v>
      </c>
      <c r="O1491" s="9" t="s">
        <v>57</v>
      </c>
      <c r="P1491" s="9" t="s">
        <v>58</v>
      </c>
      <c r="Q1491" s="9">
        <v>3</v>
      </c>
      <c r="R1491" s="9">
        <v>0</v>
      </c>
      <c r="S1491" s="9">
        <v>3</v>
      </c>
      <c r="T1491" s="9">
        <v>3</v>
      </c>
      <c r="U1491" s="9">
        <v>0</v>
      </c>
      <c r="V1491" s="9" t="s">
        <v>114</v>
      </c>
      <c r="W1491" s="9">
        <v>0</v>
      </c>
      <c r="X1491" s="9">
        <v>0</v>
      </c>
      <c r="Y1491" s="9">
        <v>0</v>
      </c>
      <c r="Z1491" s="9">
        <v>0</v>
      </c>
      <c r="AA1491" s="9">
        <v>13</v>
      </c>
      <c r="AB1491" s="9">
        <v>8</v>
      </c>
      <c r="AC1491" s="9">
        <v>14</v>
      </c>
      <c r="AD1491" s="9" t="s">
        <v>0</v>
      </c>
      <c r="AE1491" s="9" t="s">
        <v>60</v>
      </c>
    </row>
    <row r="1492" spans="1:31" ht="38.25" x14ac:dyDescent="0.2">
      <c r="A1492" s="6" t="str">
        <f>HYPERLINK("http://www.patentics.cn/invokexml.do?sx=showpatent_cn&amp;sf=ShowPatent&amp;spn=CN1688136&amp;sx=showpatent_cn&amp;sv=e95bc224f435dde7e23820798c36a588","CN1688136")</f>
        <v>CN1688136</v>
      </c>
      <c r="B1492" s="7" t="s">
        <v>7658</v>
      </c>
      <c r="C1492" s="7" t="s">
        <v>7659</v>
      </c>
      <c r="D1492" s="7" t="s">
        <v>1383</v>
      </c>
      <c r="E1492" s="7" t="s">
        <v>1383</v>
      </c>
      <c r="F1492" s="7" t="s">
        <v>7660</v>
      </c>
      <c r="G1492" s="7" t="s">
        <v>7661</v>
      </c>
      <c r="H1492" s="7" t="s">
        <v>7662</v>
      </c>
      <c r="I1492" s="7" t="s">
        <v>7662</v>
      </c>
      <c r="J1492" s="7" t="s">
        <v>1100</v>
      </c>
      <c r="K1492" s="7" t="s">
        <v>68</v>
      </c>
      <c r="L1492" s="7" t="s">
        <v>446</v>
      </c>
      <c r="M1492" s="7">
        <v>1</v>
      </c>
      <c r="N1492" s="7">
        <v>93</v>
      </c>
      <c r="O1492" s="7" t="s">
        <v>42</v>
      </c>
      <c r="P1492" s="7" t="s">
        <v>43</v>
      </c>
      <c r="Q1492" s="7">
        <v>0</v>
      </c>
      <c r="R1492" s="7">
        <v>0</v>
      </c>
      <c r="S1492" s="7">
        <v>0</v>
      </c>
      <c r="T1492" s="7">
        <v>0</v>
      </c>
      <c r="U1492" s="7">
        <v>6</v>
      </c>
      <c r="V1492" s="7" t="s">
        <v>4191</v>
      </c>
      <c r="W1492" s="7">
        <v>0</v>
      </c>
      <c r="X1492" s="7">
        <v>6</v>
      </c>
      <c r="Y1492" s="7">
        <v>4</v>
      </c>
      <c r="Z1492" s="7">
        <v>1</v>
      </c>
      <c r="AA1492" s="7">
        <v>1</v>
      </c>
      <c r="AB1492" s="7">
        <v>1</v>
      </c>
      <c r="AC1492" s="7" t="s">
        <v>0</v>
      </c>
      <c r="AD1492" s="7">
        <v>1</v>
      </c>
      <c r="AE1492" s="7" t="s">
        <v>532</v>
      </c>
    </row>
    <row r="1493" spans="1:31" ht="89.25" x14ac:dyDescent="0.2">
      <c r="A1493" s="8" t="str">
        <f>HYPERLINK("http://www.patentics.cn/invokexml.do?sx=showpatent_cn&amp;sf=ShowPatent&amp;spn=CN101421633B&amp;sx=showpatent_cn&amp;sv=50dc9f10a0c7428e35d432e52fe463ae","CN101421633B")</f>
        <v>CN101421633B</v>
      </c>
      <c r="B1493" s="9" t="s">
        <v>7663</v>
      </c>
      <c r="C1493" s="9" t="s">
        <v>7664</v>
      </c>
      <c r="D1493" s="9" t="s">
        <v>301</v>
      </c>
      <c r="E1493" s="9" t="s">
        <v>301</v>
      </c>
      <c r="F1493" s="9" t="s">
        <v>7665</v>
      </c>
      <c r="G1493" s="9" t="s">
        <v>7666</v>
      </c>
      <c r="H1493" s="9" t="s">
        <v>7667</v>
      </c>
      <c r="I1493" s="9" t="s">
        <v>638</v>
      </c>
      <c r="J1493" s="9" t="s">
        <v>2283</v>
      </c>
      <c r="K1493" s="9" t="s">
        <v>2217</v>
      </c>
      <c r="L1493" s="9" t="s">
        <v>3217</v>
      </c>
      <c r="M1493" s="9">
        <v>32</v>
      </c>
      <c r="N1493" s="9">
        <v>22</v>
      </c>
      <c r="O1493" s="9" t="s">
        <v>57</v>
      </c>
      <c r="P1493" s="9" t="s">
        <v>58</v>
      </c>
      <c r="Q1493" s="9">
        <v>4</v>
      </c>
      <c r="R1493" s="9">
        <v>0</v>
      </c>
      <c r="S1493" s="9">
        <v>4</v>
      </c>
      <c r="T1493" s="9">
        <v>4</v>
      </c>
      <c r="U1493" s="9">
        <v>0</v>
      </c>
      <c r="V1493" s="9" t="s">
        <v>114</v>
      </c>
      <c r="W1493" s="9">
        <v>0</v>
      </c>
      <c r="X1493" s="9">
        <v>0</v>
      </c>
      <c r="Y1493" s="9">
        <v>0</v>
      </c>
      <c r="Z1493" s="9">
        <v>0</v>
      </c>
      <c r="AA1493" s="9">
        <v>10</v>
      </c>
      <c r="AB1493" s="9">
        <v>8</v>
      </c>
      <c r="AC1493" s="9">
        <v>14</v>
      </c>
      <c r="AD1493" s="9" t="s">
        <v>0</v>
      </c>
      <c r="AE1493" s="9" t="s">
        <v>532</v>
      </c>
    </row>
    <row r="1494" spans="1:31" ht="51" x14ac:dyDescent="0.2">
      <c r="A1494" s="6" t="str">
        <f>HYPERLINK("http://www.patentics.cn/invokexml.do?sx=showpatent_cn&amp;sf=ShowPatent&amp;spn=CN1678068&amp;sx=showpatent_cn&amp;sv=b420ed653cc96d0fadaa74d2b6309ad4","CN1678068")</f>
        <v>CN1678068</v>
      </c>
      <c r="B1494" s="7" t="s">
        <v>7668</v>
      </c>
      <c r="C1494" s="7" t="s">
        <v>7669</v>
      </c>
      <c r="D1494" s="7" t="s">
        <v>1383</v>
      </c>
      <c r="E1494" s="7" t="s">
        <v>1383</v>
      </c>
      <c r="F1494" s="7" t="s">
        <v>7670</v>
      </c>
      <c r="G1494" s="7" t="s">
        <v>4933</v>
      </c>
      <c r="H1494" s="7" t="s">
        <v>7671</v>
      </c>
      <c r="I1494" s="7" t="s">
        <v>7671</v>
      </c>
      <c r="J1494" s="7" t="s">
        <v>7672</v>
      </c>
      <c r="K1494" s="7" t="s">
        <v>714</v>
      </c>
      <c r="L1494" s="7" t="s">
        <v>1643</v>
      </c>
      <c r="M1494" s="7">
        <v>2</v>
      </c>
      <c r="N1494" s="7">
        <v>125</v>
      </c>
      <c r="O1494" s="7" t="s">
        <v>42</v>
      </c>
      <c r="P1494" s="7" t="s">
        <v>43</v>
      </c>
      <c r="Q1494" s="7">
        <v>0</v>
      </c>
      <c r="R1494" s="7">
        <v>0</v>
      </c>
      <c r="S1494" s="7">
        <v>0</v>
      </c>
      <c r="T1494" s="7">
        <v>0</v>
      </c>
      <c r="U1494" s="7">
        <v>51</v>
      </c>
      <c r="V1494" s="7" t="s">
        <v>7673</v>
      </c>
      <c r="W1494" s="7">
        <v>1</v>
      </c>
      <c r="X1494" s="7">
        <v>50</v>
      </c>
      <c r="Y1494" s="7">
        <v>21</v>
      </c>
      <c r="Z1494" s="7">
        <v>3</v>
      </c>
      <c r="AA1494" s="7">
        <v>1</v>
      </c>
      <c r="AB1494" s="7">
        <v>1</v>
      </c>
      <c r="AC1494" s="7" t="s">
        <v>0</v>
      </c>
      <c r="AD1494" s="7">
        <v>1</v>
      </c>
      <c r="AE1494" s="7" t="s">
        <v>60</v>
      </c>
    </row>
    <row r="1495" spans="1:31" ht="25.5" x14ac:dyDescent="0.2">
      <c r="A1495" s="8" t="str">
        <f>HYPERLINK("http://www.patentics.cn/invokexml.do?sx=showpatent_cn&amp;sf=ShowPatent&amp;spn=CN101536373B&amp;sx=showpatent_cn&amp;sv=e9328f49c4b20fb710c6eb7477c41b5e","CN101536373B")</f>
        <v>CN101536373B</v>
      </c>
      <c r="B1495" s="9" t="s">
        <v>7674</v>
      </c>
      <c r="C1495" s="9" t="s">
        <v>7675</v>
      </c>
      <c r="D1495" s="9" t="s">
        <v>301</v>
      </c>
      <c r="E1495" s="9" t="s">
        <v>301</v>
      </c>
      <c r="F1495" s="9" t="s">
        <v>7676</v>
      </c>
      <c r="G1495" s="9" t="s">
        <v>7676</v>
      </c>
      <c r="H1495" s="9" t="s">
        <v>7677</v>
      </c>
      <c r="I1495" s="9" t="s">
        <v>7678</v>
      </c>
      <c r="J1495" s="9" t="s">
        <v>2449</v>
      </c>
      <c r="K1495" s="9" t="s">
        <v>488</v>
      </c>
      <c r="L1495" s="9" t="s">
        <v>489</v>
      </c>
      <c r="M1495" s="9">
        <v>24</v>
      </c>
      <c r="N1495" s="9">
        <v>11</v>
      </c>
      <c r="O1495" s="9" t="s">
        <v>57</v>
      </c>
      <c r="P1495" s="9" t="s">
        <v>58</v>
      </c>
      <c r="Q1495" s="9">
        <v>2</v>
      </c>
      <c r="R1495" s="9">
        <v>0</v>
      </c>
      <c r="S1495" s="9">
        <v>2</v>
      </c>
      <c r="T1495" s="9">
        <v>2</v>
      </c>
      <c r="U1495" s="9">
        <v>0</v>
      </c>
      <c r="V1495" s="9" t="s">
        <v>114</v>
      </c>
      <c r="W1495" s="9">
        <v>0</v>
      </c>
      <c r="X1495" s="9">
        <v>0</v>
      </c>
      <c r="Y1495" s="9">
        <v>0</v>
      </c>
      <c r="Z1495" s="9">
        <v>0</v>
      </c>
      <c r="AA1495" s="9">
        <v>20</v>
      </c>
      <c r="AB1495" s="9">
        <v>10</v>
      </c>
      <c r="AC1495" s="9">
        <v>14</v>
      </c>
      <c r="AD1495" s="9" t="s">
        <v>0</v>
      </c>
      <c r="AE1495" s="9" t="s">
        <v>60</v>
      </c>
    </row>
    <row r="1496" spans="1:31" ht="25.5" x14ac:dyDescent="0.2">
      <c r="A1496" s="6" t="str">
        <f>HYPERLINK("http://www.patentics.cn/invokexml.do?sx=showpatent_cn&amp;sf=ShowPatent&amp;spn=CN1678044&amp;sx=showpatent_cn&amp;sv=e97c5b550ae3560d28cc852f8b325b64","CN1678044")</f>
        <v>CN1678044</v>
      </c>
      <c r="B1496" s="7" t="s">
        <v>7679</v>
      </c>
      <c r="C1496" s="7" t="s">
        <v>7680</v>
      </c>
      <c r="D1496" s="7" t="s">
        <v>1383</v>
      </c>
      <c r="E1496" s="7" t="s">
        <v>1383</v>
      </c>
      <c r="F1496" s="7" t="s">
        <v>7681</v>
      </c>
      <c r="G1496" s="7" t="s">
        <v>4933</v>
      </c>
      <c r="H1496" s="7" t="s">
        <v>7682</v>
      </c>
      <c r="I1496" s="7" t="s">
        <v>7682</v>
      </c>
      <c r="J1496" s="7" t="s">
        <v>7672</v>
      </c>
      <c r="K1496" s="7" t="s">
        <v>714</v>
      </c>
      <c r="L1496" s="7" t="s">
        <v>7683</v>
      </c>
      <c r="M1496" s="7">
        <v>2</v>
      </c>
      <c r="N1496" s="7">
        <v>83</v>
      </c>
      <c r="O1496" s="7" t="s">
        <v>42</v>
      </c>
      <c r="P1496" s="7" t="s">
        <v>43</v>
      </c>
      <c r="Q1496" s="7">
        <v>1</v>
      </c>
      <c r="R1496" s="7">
        <v>1</v>
      </c>
      <c r="S1496" s="7">
        <v>0</v>
      </c>
      <c r="T1496" s="7">
        <v>1</v>
      </c>
      <c r="U1496" s="7">
        <v>10</v>
      </c>
      <c r="V1496" s="7" t="s">
        <v>1488</v>
      </c>
      <c r="W1496" s="7">
        <v>0</v>
      </c>
      <c r="X1496" s="7">
        <v>10</v>
      </c>
      <c r="Y1496" s="7">
        <v>6</v>
      </c>
      <c r="Z1496" s="7">
        <v>1</v>
      </c>
      <c r="AA1496" s="7">
        <v>1</v>
      </c>
      <c r="AB1496" s="7">
        <v>1</v>
      </c>
      <c r="AC1496" s="7" t="s">
        <v>0</v>
      </c>
      <c r="AD1496" s="7">
        <v>1</v>
      </c>
      <c r="AE1496" s="7" t="s">
        <v>532</v>
      </c>
    </row>
    <row r="1497" spans="1:31" ht="63.75" x14ac:dyDescent="0.2">
      <c r="A1497" s="8" t="str">
        <f>HYPERLINK("http://www.patentics.cn/invokexml.do?sx=showpatent_cn&amp;sf=ShowPatent&amp;spn=CN102273164B&amp;sx=showpatent_cn&amp;sv=6bf9d8f7ca880ec3f8b63a13dc9d86ff","CN102273164B")</f>
        <v>CN102273164B</v>
      </c>
      <c r="B1497" s="9" t="s">
        <v>4812</v>
      </c>
      <c r="C1497" s="9" t="s">
        <v>4813</v>
      </c>
      <c r="D1497" s="9" t="s">
        <v>301</v>
      </c>
      <c r="E1497" s="9" t="s">
        <v>301</v>
      </c>
      <c r="F1497" s="9" t="s">
        <v>4814</v>
      </c>
      <c r="G1497" s="9" t="s">
        <v>4815</v>
      </c>
      <c r="H1497" s="9" t="s">
        <v>4816</v>
      </c>
      <c r="I1497" s="9" t="s">
        <v>4817</v>
      </c>
      <c r="J1497" s="9" t="s">
        <v>4818</v>
      </c>
      <c r="K1497" s="9" t="s">
        <v>68</v>
      </c>
      <c r="L1497" s="9" t="s">
        <v>281</v>
      </c>
      <c r="M1497" s="9">
        <v>19</v>
      </c>
      <c r="N1497" s="9">
        <v>13</v>
      </c>
      <c r="O1497" s="9" t="s">
        <v>57</v>
      </c>
      <c r="P1497" s="9" t="s">
        <v>58</v>
      </c>
      <c r="Q1497" s="9">
        <v>2</v>
      </c>
      <c r="R1497" s="9">
        <v>0</v>
      </c>
      <c r="S1497" s="9">
        <v>2</v>
      </c>
      <c r="T1497" s="9">
        <v>2</v>
      </c>
      <c r="U1497" s="9">
        <v>0</v>
      </c>
      <c r="V1497" s="9" t="s">
        <v>114</v>
      </c>
      <c r="W1497" s="9">
        <v>0</v>
      </c>
      <c r="X1497" s="9">
        <v>0</v>
      </c>
      <c r="Y1497" s="9">
        <v>0</v>
      </c>
      <c r="Z1497" s="9">
        <v>0</v>
      </c>
      <c r="AA1497" s="9">
        <v>0</v>
      </c>
      <c r="AB1497" s="9">
        <v>0</v>
      </c>
      <c r="AC1497" s="9">
        <v>14</v>
      </c>
      <c r="AD1497" s="9" t="s">
        <v>0</v>
      </c>
      <c r="AE1497" s="9" t="s">
        <v>60</v>
      </c>
    </row>
    <row r="1498" spans="1:31" ht="25.5" x14ac:dyDescent="0.2">
      <c r="A1498" s="6" t="str">
        <f>HYPERLINK("http://www.patentics.cn/invokexml.do?sx=showpatent_cn&amp;sf=ShowPatent&amp;spn=CN1677908&amp;sx=showpatent_cn&amp;sv=2999cd5084783e4c601ee3881d96b561","CN1677908")</f>
        <v>CN1677908</v>
      </c>
      <c r="B1498" s="7" t="s">
        <v>7684</v>
      </c>
      <c r="C1498" s="7" t="s">
        <v>7685</v>
      </c>
      <c r="D1498" s="7" t="s">
        <v>1383</v>
      </c>
      <c r="E1498" s="7" t="s">
        <v>1383</v>
      </c>
      <c r="F1498" s="7" t="s">
        <v>7681</v>
      </c>
      <c r="G1498" s="7" t="s">
        <v>4933</v>
      </c>
      <c r="H1498" s="7" t="s">
        <v>7682</v>
      </c>
      <c r="I1498" s="7" t="s">
        <v>7682</v>
      </c>
      <c r="J1498" s="7" t="s">
        <v>7672</v>
      </c>
      <c r="K1498" s="7" t="s">
        <v>40</v>
      </c>
      <c r="L1498" s="7" t="s">
        <v>41</v>
      </c>
      <c r="M1498" s="7">
        <v>4</v>
      </c>
      <c r="N1498" s="7">
        <v>78</v>
      </c>
      <c r="O1498" s="7" t="s">
        <v>42</v>
      </c>
      <c r="P1498" s="7" t="s">
        <v>43</v>
      </c>
      <c r="Q1498" s="7">
        <v>1</v>
      </c>
      <c r="R1498" s="7">
        <v>1</v>
      </c>
      <c r="S1498" s="7">
        <v>0</v>
      </c>
      <c r="T1498" s="7">
        <v>1</v>
      </c>
      <c r="U1498" s="7">
        <v>27</v>
      </c>
      <c r="V1498" s="7" t="s">
        <v>7686</v>
      </c>
      <c r="W1498" s="7">
        <v>5</v>
      </c>
      <c r="X1498" s="7">
        <v>22</v>
      </c>
      <c r="Y1498" s="7">
        <v>15</v>
      </c>
      <c r="Z1498" s="7">
        <v>2</v>
      </c>
      <c r="AA1498" s="7">
        <v>1</v>
      </c>
      <c r="AB1498" s="7">
        <v>1</v>
      </c>
      <c r="AC1498" s="7" t="s">
        <v>0</v>
      </c>
      <c r="AD1498" s="7">
        <v>1</v>
      </c>
      <c r="AE1498" s="7" t="s">
        <v>532</v>
      </c>
    </row>
    <row r="1499" spans="1:31" ht="76.5" x14ac:dyDescent="0.2">
      <c r="A1499" s="8" t="str">
        <f>HYPERLINK("http://www.patentics.cn/invokexml.do?sx=showpatent_cn&amp;sf=ShowPatent&amp;spn=CN101779518B&amp;sx=showpatent_cn&amp;sv=0cc5121ef120500b931ab6b7e985f9a5","CN101779518B")</f>
        <v>CN101779518B</v>
      </c>
      <c r="B1499" s="9" t="s">
        <v>7687</v>
      </c>
      <c r="C1499" s="9" t="s">
        <v>7688</v>
      </c>
      <c r="D1499" s="9" t="s">
        <v>301</v>
      </c>
      <c r="E1499" s="9" t="s">
        <v>301</v>
      </c>
      <c r="F1499" s="9" t="s">
        <v>7689</v>
      </c>
      <c r="G1499" s="9" t="s">
        <v>7690</v>
      </c>
      <c r="H1499" s="9" t="s">
        <v>7691</v>
      </c>
      <c r="I1499" s="9" t="s">
        <v>1259</v>
      </c>
      <c r="J1499" s="9" t="s">
        <v>2647</v>
      </c>
      <c r="K1499" s="9" t="s">
        <v>68</v>
      </c>
      <c r="L1499" s="9" t="s">
        <v>160</v>
      </c>
      <c r="M1499" s="9">
        <v>22</v>
      </c>
      <c r="N1499" s="9">
        <v>13</v>
      </c>
      <c r="O1499" s="9" t="s">
        <v>57</v>
      </c>
      <c r="P1499" s="9" t="s">
        <v>58</v>
      </c>
      <c r="Q1499" s="9">
        <v>3</v>
      </c>
      <c r="R1499" s="9">
        <v>0</v>
      </c>
      <c r="S1499" s="9">
        <v>3</v>
      </c>
      <c r="T1499" s="9">
        <v>3</v>
      </c>
      <c r="U1499" s="9">
        <v>6</v>
      </c>
      <c r="V1499" s="9" t="s">
        <v>114</v>
      </c>
      <c r="W1499" s="9">
        <v>0</v>
      </c>
      <c r="X1499" s="9">
        <v>6</v>
      </c>
      <c r="Y1499" s="9">
        <v>0</v>
      </c>
      <c r="Z1499" s="9">
        <v>1</v>
      </c>
      <c r="AA1499" s="9">
        <v>21</v>
      </c>
      <c r="AB1499" s="9">
        <v>15</v>
      </c>
      <c r="AC1499" s="9">
        <v>14</v>
      </c>
      <c r="AD1499" s="9" t="s">
        <v>0</v>
      </c>
      <c r="AE1499" s="9" t="s">
        <v>60</v>
      </c>
    </row>
    <row r="1500" spans="1:31" ht="38.25" x14ac:dyDescent="0.2">
      <c r="A1500" s="6" t="str">
        <f>HYPERLINK("http://www.patentics.cn/invokexml.do?sx=showpatent_cn&amp;sf=ShowPatent&amp;spn=CN1674680&amp;sx=showpatent_cn&amp;sv=5fb1dacadfd001ed353e5c92d287eae2","CN1674680")</f>
        <v>CN1674680</v>
      </c>
      <c r="B1500" s="7" t="s">
        <v>7692</v>
      </c>
      <c r="C1500" s="7" t="s">
        <v>7693</v>
      </c>
      <c r="D1500" s="7" t="s">
        <v>432</v>
      </c>
      <c r="E1500" s="7" t="s">
        <v>432</v>
      </c>
      <c r="F1500" s="7" t="s">
        <v>7694</v>
      </c>
      <c r="G1500" s="7" t="s">
        <v>3007</v>
      </c>
      <c r="H1500" s="7" t="s">
        <v>7695</v>
      </c>
      <c r="I1500" s="7" t="s">
        <v>7695</v>
      </c>
      <c r="J1500" s="7" t="s">
        <v>2064</v>
      </c>
      <c r="K1500" s="7" t="s">
        <v>714</v>
      </c>
      <c r="L1500" s="7" t="s">
        <v>7696</v>
      </c>
      <c r="M1500" s="7">
        <v>2</v>
      </c>
      <c r="N1500" s="7">
        <v>65</v>
      </c>
      <c r="O1500" s="7" t="s">
        <v>42</v>
      </c>
      <c r="P1500" s="7" t="s">
        <v>43</v>
      </c>
      <c r="Q1500" s="7">
        <v>0</v>
      </c>
      <c r="R1500" s="7">
        <v>0</v>
      </c>
      <c r="S1500" s="7">
        <v>0</v>
      </c>
      <c r="T1500" s="7">
        <v>0</v>
      </c>
      <c r="U1500" s="7">
        <v>56</v>
      </c>
      <c r="V1500" s="7" t="s">
        <v>7697</v>
      </c>
      <c r="W1500" s="7">
        <v>0</v>
      </c>
      <c r="X1500" s="7">
        <v>56</v>
      </c>
      <c r="Y1500" s="7">
        <v>21</v>
      </c>
      <c r="Z1500" s="7">
        <v>3</v>
      </c>
      <c r="AA1500" s="7">
        <v>1</v>
      </c>
      <c r="AB1500" s="7">
        <v>1</v>
      </c>
      <c r="AC1500" s="7" t="s">
        <v>0</v>
      </c>
      <c r="AD1500" s="7">
        <v>1</v>
      </c>
      <c r="AE1500" s="7" t="s">
        <v>532</v>
      </c>
    </row>
    <row r="1501" spans="1:31" ht="140.25" x14ac:dyDescent="0.2">
      <c r="A1501" s="8" t="str">
        <f>HYPERLINK("http://www.patentics.cn/invokexml.do?sx=showpatent_cn&amp;sf=ShowPatent&amp;spn=CN101663895B&amp;sx=showpatent_cn&amp;sv=7613077b0f1367b4b85f4eedf0d6a523","CN101663895B")</f>
        <v>CN101663895B</v>
      </c>
      <c r="B1501" s="9" t="s">
        <v>7698</v>
      </c>
      <c r="C1501" s="9" t="s">
        <v>7699</v>
      </c>
      <c r="D1501" s="9" t="s">
        <v>301</v>
      </c>
      <c r="E1501" s="9" t="s">
        <v>301</v>
      </c>
      <c r="F1501" s="9" t="s">
        <v>7700</v>
      </c>
      <c r="G1501" s="9" t="s">
        <v>7701</v>
      </c>
      <c r="H1501" s="9" t="s">
        <v>7702</v>
      </c>
      <c r="I1501" s="9" t="s">
        <v>7702</v>
      </c>
      <c r="J1501" s="9" t="s">
        <v>5645</v>
      </c>
      <c r="K1501" s="9" t="s">
        <v>714</v>
      </c>
      <c r="L1501" s="9" t="s">
        <v>1346</v>
      </c>
      <c r="M1501" s="9">
        <v>24</v>
      </c>
      <c r="N1501" s="9">
        <v>23</v>
      </c>
      <c r="O1501" s="9" t="s">
        <v>57</v>
      </c>
      <c r="P1501" s="9" t="s">
        <v>58</v>
      </c>
      <c r="Q1501" s="9">
        <v>4</v>
      </c>
      <c r="R1501" s="9">
        <v>0</v>
      </c>
      <c r="S1501" s="9">
        <v>4</v>
      </c>
      <c r="T1501" s="9">
        <v>4</v>
      </c>
      <c r="U1501" s="9">
        <v>0</v>
      </c>
      <c r="V1501" s="9" t="s">
        <v>114</v>
      </c>
      <c r="W1501" s="9">
        <v>0</v>
      </c>
      <c r="X1501" s="9">
        <v>0</v>
      </c>
      <c r="Y1501" s="9">
        <v>0</v>
      </c>
      <c r="Z1501" s="9">
        <v>0</v>
      </c>
      <c r="AA1501" s="9">
        <v>6</v>
      </c>
      <c r="AB1501" s="9">
        <v>5</v>
      </c>
      <c r="AC1501" s="9">
        <v>14</v>
      </c>
      <c r="AD1501" s="9" t="s">
        <v>0</v>
      </c>
      <c r="AE1501" s="9" t="s">
        <v>532</v>
      </c>
    </row>
    <row r="1502" spans="1:31" ht="38.25" x14ac:dyDescent="0.2">
      <c r="A1502" s="6" t="str">
        <f>HYPERLINK("http://www.patentics.cn/invokexml.do?sx=showpatent_cn&amp;sf=ShowPatent&amp;spn=CN1665232&amp;sx=showpatent_cn&amp;sv=dfc05556acace687d9f06179ce91d8f1","CN1665232")</f>
        <v>CN1665232</v>
      </c>
      <c r="B1502" s="7" t="s">
        <v>7703</v>
      </c>
      <c r="C1502" s="7" t="s">
        <v>7704</v>
      </c>
      <c r="D1502" s="7" t="s">
        <v>309</v>
      </c>
      <c r="E1502" s="7" t="s">
        <v>309</v>
      </c>
      <c r="F1502" s="7" t="s">
        <v>7705</v>
      </c>
      <c r="G1502" s="7" t="s">
        <v>7706</v>
      </c>
      <c r="H1502" s="7" t="s">
        <v>234</v>
      </c>
      <c r="I1502" s="7" t="s">
        <v>234</v>
      </c>
      <c r="J1502" s="7" t="s">
        <v>2880</v>
      </c>
      <c r="K1502" s="7" t="s">
        <v>68</v>
      </c>
      <c r="L1502" s="7" t="s">
        <v>3055</v>
      </c>
      <c r="M1502" s="7">
        <v>4</v>
      </c>
      <c r="N1502" s="7">
        <v>28</v>
      </c>
      <c r="O1502" s="7" t="s">
        <v>42</v>
      </c>
      <c r="P1502" s="7" t="s">
        <v>43</v>
      </c>
      <c r="Q1502" s="7">
        <v>0</v>
      </c>
      <c r="R1502" s="7">
        <v>0</v>
      </c>
      <c r="S1502" s="7">
        <v>0</v>
      </c>
      <c r="T1502" s="7">
        <v>0</v>
      </c>
      <c r="U1502" s="7">
        <v>9</v>
      </c>
      <c r="V1502" s="7" t="s">
        <v>7149</v>
      </c>
      <c r="W1502" s="7">
        <v>0</v>
      </c>
      <c r="X1502" s="7">
        <v>9</v>
      </c>
      <c r="Y1502" s="7">
        <v>5</v>
      </c>
      <c r="Z1502" s="7">
        <v>2</v>
      </c>
      <c r="AA1502" s="7">
        <v>3</v>
      </c>
      <c r="AB1502" s="7">
        <v>2</v>
      </c>
      <c r="AC1502" s="7" t="s">
        <v>0</v>
      </c>
      <c r="AD1502" s="7">
        <v>1</v>
      </c>
      <c r="AE1502" s="7" t="s">
        <v>60</v>
      </c>
    </row>
    <row r="1503" spans="1:31" ht="38.25" x14ac:dyDescent="0.2">
      <c r="A1503" s="8" t="str">
        <f>HYPERLINK("http://www.patentics.cn/invokexml.do?sx=showpatent_cn&amp;sf=ShowPatent&amp;spn=CN101785222B&amp;sx=showpatent_cn&amp;sv=cac99cc6568d01051f20c59f09f03318","CN101785222B")</f>
        <v>CN101785222B</v>
      </c>
      <c r="B1503" s="9" t="s">
        <v>7707</v>
      </c>
      <c r="C1503" s="9" t="s">
        <v>7708</v>
      </c>
      <c r="D1503" s="9" t="s">
        <v>301</v>
      </c>
      <c r="E1503" s="9" t="s">
        <v>301</v>
      </c>
      <c r="F1503" s="9" t="s">
        <v>7709</v>
      </c>
      <c r="G1503" s="9" t="s">
        <v>7710</v>
      </c>
      <c r="H1503" s="9" t="s">
        <v>7702</v>
      </c>
      <c r="I1503" s="9" t="s">
        <v>7711</v>
      </c>
      <c r="J1503" s="9" t="s">
        <v>2528</v>
      </c>
      <c r="K1503" s="9" t="s">
        <v>40</v>
      </c>
      <c r="L1503" s="9" t="s">
        <v>41</v>
      </c>
      <c r="M1503" s="9">
        <v>14</v>
      </c>
      <c r="N1503" s="9">
        <v>20</v>
      </c>
      <c r="O1503" s="9" t="s">
        <v>57</v>
      </c>
      <c r="P1503" s="9" t="s">
        <v>58</v>
      </c>
      <c r="Q1503" s="9">
        <v>3</v>
      </c>
      <c r="R1503" s="9">
        <v>1</v>
      </c>
      <c r="S1503" s="9">
        <v>2</v>
      </c>
      <c r="T1503" s="9">
        <v>3</v>
      </c>
      <c r="U1503" s="9">
        <v>0</v>
      </c>
      <c r="V1503" s="9" t="s">
        <v>114</v>
      </c>
      <c r="W1503" s="9">
        <v>0</v>
      </c>
      <c r="X1503" s="9">
        <v>0</v>
      </c>
      <c r="Y1503" s="9">
        <v>0</v>
      </c>
      <c r="Z1503" s="9">
        <v>0</v>
      </c>
      <c r="AA1503" s="9">
        <v>9</v>
      </c>
      <c r="AB1503" s="9">
        <v>6</v>
      </c>
      <c r="AC1503" s="9">
        <v>14</v>
      </c>
      <c r="AD1503" s="9" t="s">
        <v>0</v>
      </c>
      <c r="AE1503" s="9" t="s">
        <v>60</v>
      </c>
    </row>
    <row r="1504" spans="1:31" ht="25.5" x14ac:dyDescent="0.2">
      <c r="A1504" s="6" t="str">
        <f>HYPERLINK("http://www.patentics.cn/invokexml.do?sx=showpatent_cn&amp;sf=ShowPatent&amp;spn=CN1663208&amp;sx=showpatent_cn&amp;sv=4ef73b4d9b8caeeafa164e858a78ab41","CN1663208")</f>
        <v>CN1663208</v>
      </c>
      <c r="B1504" s="7" t="s">
        <v>7712</v>
      </c>
      <c r="C1504" s="7" t="s">
        <v>7713</v>
      </c>
      <c r="D1504" s="7" t="s">
        <v>7714</v>
      </c>
      <c r="E1504" s="7" t="s">
        <v>7715</v>
      </c>
      <c r="F1504" s="7" t="s">
        <v>7716</v>
      </c>
      <c r="G1504" s="7" t="s">
        <v>7716</v>
      </c>
      <c r="H1504" s="7" t="s">
        <v>7717</v>
      </c>
      <c r="I1504" s="7" t="s">
        <v>7718</v>
      </c>
      <c r="J1504" s="7" t="s">
        <v>7719</v>
      </c>
      <c r="K1504" s="7" t="s">
        <v>68</v>
      </c>
      <c r="L1504" s="7" t="s">
        <v>218</v>
      </c>
      <c r="M1504" s="7">
        <v>11</v>
      </c>
      <c r="N1504" s="7">
        <v>24</v>
      </c>
      <c r="O1504" s="7" t="s">
        <v>42</v>
      </c>
      <c r="P1504" s="7" t="s">
        <v>341</v>
      </c>
      <c r="Q1504" s="7">
        <v>0</v>
      </c>
      <c r="R1504" s="7">
        <v>0</v>
      </c>
      <c r="S1504" s="7">
        <v>0</v>
      </c>
      <c r="T1504" s="7">
        <v>0</v>
      </c>
      <c r="U1504" s="7">
        <v>5</v>
      </c>
      <c r="V1504" s="7" t="s">
        <v>6490</v>
      </c>
      <c r="W1504" s="7">
        <v>0</v>
      </c>
      <c r="X1504" s="7">
        <v>5</v>
      </c>
      <c r="Y1504" s="7">
        <v>3</v>
      </c>
      <c r="Z1504" s="7">
        <v>1</v>
      </c>
      <c r="AA1504" s="7">
        <v>11</v>
      </c>
      <c r="AB1504" s="7">
        <v>7</v>
      </c>
      <c r="AC1504" s="7" t="s">
        <v>0</v>
      </c>
      <c r="AD1504" s="7">
        <v>1</v>
      </c>
      <c r="AE1504" s="7" t="s">
        <v>60</v>
      </c>
    </row>
    <row r="1505" spans="1:31" x14ac:dyDescent="0.2">
      <c r="A1505" s="8" t="str">
        <f>HYPERLINK("http://www.patentics.cn/invokexml.do?sx=showpatent_cn&amp;sf=ShowPatent&amp;spn=CN101454772B&amp;sx=showpatent_cn&amp;sv=c38c690b92d7eb2285f9209b744f77c4","CN101454772B")</f>
        <v>CN101454772B</v>
      </c>
      <c r="B1505" s="9" t="s">
        <v>7720</v>
      </c>
      <c r="C1505" s="9" t="s">
        <v>7721</v>
      </c>
      <c r="D1505" s="9" t="s">
        <v>301</v>
      </c>
      <c r="E1505" s="9" t="s">
        <v>301</v>
      </c>
      <c r="F1505" s="9" t="s">
        <v>7722</v>
      </c>
      <c r="G1505" s="9" t="s">
        <v>7722</v>
      </c>
      <c r="H1505" s="9" t="s">
        <v>7606</v>
      </c>
      <c r="I1505" s="9" t="s">
        <v>3965</v>
      </c>
      <c r="J1505" s="9" t="s">
        <v>330</v>
      </c>
      <c r="K1505" s="9" t="s">
        <v>885</v>
      </c>
      <c r="L1505" s="9" t="s">
        <v>1353</v>
      </c>
      <c r="M1505" s="9">
        <v>6</v>
      </c>
      <c r="N1505" s="9">
        <v>15</v>
      </c>
      <c r="O1505" s="9" t="s">
        <v>57</v>
      </c>
      <c r="P1505" s="9" t="s">
        <v>58</v>
      </c>
      <c r="Q1505" s="9">
        <v>4</v>
      </c>
      <c r="R1505" s="9">
        <v>0</v>
      </c>
      <c r="S1505" s="9">
        <v>4</v>
      </c>
      <c r="T1505" s="9">
        <v>4</v>
      </c>
      <c r="U1505" s="9">
        <v>0</v>
      </c>
      <c r="V1505" s="9" t="s">
        <v>114</v>
      </c>
      <c r="W1505" s="9">
        <v>0</v>
      </c>
      <c r="X1505" s="9">
        <v>0</v>
      </c>
      <c r="Y1505" s="9">
        <v>0</v>
      </c>
      <c r="Z1505" s="9">
        <v>0</v>
      </c>
      <c r="AA1505" s="9">
        <v>0</v>
      </c>
      <c r="AB1505" s="9">
        <v>0</v>
      </c>
      <c r="AC1505" s="9">
        <v>14</v>
      </c>
      <c r="AD1505" s="9" t="s">
        <v>0</v>
      </c>
      <c r="AE1505" s="9" t="s">
        <v>60</v>
      </c>
    </row>
    <row r="1506" spans="1:31" ht="38.25" x14ac:dyDescent="0.2">
      <c r="A1506" s="6" t="str">
        <f>HYPERLINK("http://www.patentics.cn/invokexml.do?sx=showpatent_cn&amp;sf=ShowPatent&amp;spn=CN1662064&amp;sx=showpatent_cn&amp;sv=458019cfd7c3d81bbbf2de5034ff525f","CN1662064")</f>
        <v>CN1662064</v>
      </c>
      <c r="B1506" s="7" t="s">
        <v>7723</v>
      </c>
      <c r="C1506" s="7" t="s">
        <v>7724</v>
      </c>
      <c r="D1506" s="7" t="s">
        <v>1341</v>
      </c>
      <c r="E1506" s="7" t="s">
        <v>1341</v>
      </c>
      <c r="F1506" s="7" t="s">
        <v>7725</v>
      </c>
      <c r="G1506" s="7" t="s">
        <v>7726</v>
      </c>
      <c r="H1506" s="7" t="s">
        <v>7727</v>
      </c>
      <c r="I1506" s="7" t="s">
        <v>7727</v>
      </c>
      <c r="J1506" s="7" t="s">
        <v>7719</v>
      </c>
      <c r="K1506" s="7" t="s">
        <v>714</v>
      </c>
      <c r="L1506" s="7" t="s">
        <v>1643</v>
      </c>
      <c r="M1506" s="7">
        <v>2</v>
      </c>
      <c r="N1506" s="7">
        <v>29</v>
      </c>
      <c r="O1506" s="7" t="s">
        <v>42</v>
      </c>
      <c r="P1506" s="7" t="s">
        <v>43</v>
      </c>
      <c r="Q1506" s="7">
        <v>0</v>
      </c>
      <c r="R1506" s="7">
        <v>0</v>
      </c>
      <c r="S1506" s="7">
        <v>0</v>
      </c>
      <c r="T1506" s="7">
        <v>0</v>
      </c>
      <c r="U1506" s="7">
        <v>3</v>
      </c>
      <c r="V1506" s="7" t="s">
        <v>7728</v>
      </c>
      <c r="W1506" s="7">
        <v>0</v>
      </c>
      <c r="X1506" s="7">
        <v>3</v>
      </c>
      <c r="Y1506" s="7">
        <v>3</v>
      </c>
      <c r="Z1506" s="7">
        <v>1</v>
      </c>
      <c r="AA1506" s="7">
        <v>1</v>
      </c>
      <c r="AB1506" s="7">
        <v>1</v>
      </c>
      <c r="AC1506" s="7" t="s">
        <v>0</v>
      </c>
      <c r="AD1506" s="7">
        <v>1</v>
      </c>
      <c r="AE1506" s="7" t="s">
        <v>532</v>
      </c>
    </row>
    <row r="1507" spans="1:31" ht="51" x14ac:dyDescent="0.2">
      <c r="A1507" s="8" t="str">
        <f>HYPERLINK("http://www.patentics.cn/invokexml.do?sx=showpatent_cn&amp;sf=ShowPatent&amp;spn=CN101461247B&amp;sx=showpatent_cn&amp;sv=b1427422ab6f406456631ba3bbc3e436","CN101461247B")</f>
        <v>CN101461247B</v>
      </c>
      <c r="B1507" s="9" t="s">
        <v>7729</v>
      </c>
      <c r="C1507" s="9" t="s">
        <v>7730</v>
      </c>
      <c r="D1507" s="9" t="s">
        <v>301</v>
      </c>
      <c r="E1507" s="9" t="s">
        <v>301</v>
      </c>
      <c r="F1507" s="9" t="s">
        <v>7731</v>
      </c>
      <c r="G1507" s="9" t="s">
        <v>7732</v>
      </c>
      <c r="H1507" s="9" t="s">
        <v>7733</v>
      </c>
      <c r="I1507" s="9" t="s">
        <v>7734</v>
      </c>
      <c r="J1507" s="9" t="s">
        <v>7735</v>
      </c>
      <c r="K1507" s="9" t="s">
        <v>714</v>
      </c>
      <c r="L1507" s="9" t="s">
        <v>1346</v>
      </c>
      <c r="M1507" s="9">
        <v>20</v>
      </c>
      <c r="N1507" s="9">
        <v>12</v>
      </c>
      <c r="O1507" s="9" t="s">
        <v>57</v>
      </c>
      <c r="P1507" s="9" t="s">
        <v>58</v>
      </c>
      <c r="Q1507" s="9">
        <v>2</v>
      </c>
      <c r="R1507" s="9">
        <v>0</v>
      </c>
      <c r="S1507" s="9">
        <v>2</v>
      </c>
      <c r="T1507" s="9">
        <v>2</v>
      </c>
      <c r="U1507" s="9">
        <v>0</v>
      </c>
      <c r="V1507" s="9" t="s">
        <v>114</v>
      </c>
      <c r="W1507" s="9">
        <v>0</v>
      </c>
      <c r="X1507" s="9">
        <v>0</v>
      </c>
      <c r="Y1507" s="9">
        <v>0</v>
      </c>
      <c r="Z1507" s="9">
        <v>0</v>
      </c>
      <c r="AA1507" s="9">
        <v>9</v>
      </c>
      <c r="AB1507" s="9">
        <v>6</v>
      </c>
      <c r="AC1507" s="9">
        <v>14</v>
      </c>
      <c r="AD1507" s="9" t="s">
        <v>0</v>
      </c>
      <c r="AE1507" s="9" t="s">
        <v>60</v>
      </c>
    </row>
    <row r="1508" spans="1:31" ht="25.5" x14ac:dyDescent="0.2">
      <c r="A1508" s="6" t="str">
        <f>HYPERLINK("http://www.patentics.cn/invokexml.do?sx=showpatent_cn&amp;sf=ShowPatent&amp;spn=CN1655545&amp;sx=showpatent_cn&amp;sv=268f48b5961b346ff2658afaaadd7722","CN1655545")</f>
        <v>CN1655545</v>
      </c>
      <c r="B1508" s="7" t="s">
        <v>7736</v>
      </c>
      <c r="C1508" s="7" t="s">
        <v>7737</v>
      </c>
      <c r="D1508" s="7" t="s">
        <v>1341</v>
      </c>
      <c r="E1508" s="7" t="s">
        <v>1341</v>
      </c>
      <c r="F1508" s="7" t="s">
        <v>7738</v>
      </c>
      <c r="G1508" s="7" t="s">
        <v>7739</v>
      </c>
      <c r="H1508" s="7" t="s">
        <v>0</v>
      </c>
      <c r="I1508" s="7" t="s">
        <v>7740</v>
      </c>
      <c r="J1508" s="7" t="s">
        <v>2907</v>
      </c>
      <c r="K1508" s="7" t="s">
        <v>68</v>
      </c>
      <c r="L1508" s="7" t="s">
        <v>7741</v>
      </c>
      <c r="M1508" s="7">
        <v>6</v>
      </c>
      <c r="N1508" s="7">
        <v>18</v>
      </c>
      <c r="O1508" s="7" t="s">
        <v>42</v>
      </c>
      <c r="P1508" s="7" t="s">
        <v>43</v>
      </c>
      <c r="Q1508" s="7">
        <v>0</v>
      </c>
      <c r="R1508" s="7">
        <v>0</v>
      </c>
      <c r="S1508" s="7">
        <v>0</v>
      </c>
      <c r="T1508" s="7">
        <v>0</v>
      </c>
      <c r="U1508" s="7">
        <v>1</v>
      </c>
      <c r="V1508" s="7" t="s">
        <v>1591</v>
      </c>
      <c r="W1508" s="7">
        <v>0</v>
      </c>
      <c r="X1508" s="7">
        <v>1</v>
      </c>
      <c r="Y1508" s="7">
        <v>1</v>
      </c>
      <c r="Z1508" s="7">
        <v>1</v>
      </c>
      <c r="AA1508" s="7">
        <v>0</v>
      </c>
      <c r="AB1508" s="7">
        <v>0</v>
      </c>
      <c r="AC1508" s="7" t="s">
        <v>0</v>
      </c>
      <c r="AD1508" s="7">
        <v>1</v>
      </c>
      <c r="AE1508" s="7" t="s">
        <v>45</v>
      </c>
    </row>
    <row r="1509" spans="1:31" ht="25.5" x14ac:dyDescent="0.2">
      <c r="A1509" s="8" t="str">
        <f>HYPERLINK("http://www.patentics.cn/invokexml.do?sx=showpatent_cn&amp;sf=ShowPatent&amp;spn=CN101518011B&amp;sx=showpatent_cn&amp;sv=1e72615d8424b9de49cb26909ab77e66","CN101518011B")</f>
        <v>CN101518011B</v>
      </c>
      <c r="B1509" s="9" t="s">
        <v>7742</v>
      </c>
      <c r="C1509" s="9" t="s">
        <v>7743</v>
      </c>
      <c r="D1509" s="9" t="s">
        <v>301</v>
      </c>
      <c r="E1509" s="9" t="s">
        <v>301</v>
      </c>
      <c r="F1509" s="9" t="s">
        <v>1631</v>
      </c>
      <c r="G1509" s="9" t="s">
        <v>1631</v>
      </c>
      <c r="H1509" s="9" t="s">
        <v>7315</v>
      </c>
      <c r="I1509" s="9" t="s">
        <v>7744</v>
      </c>
      <c r="J1509" s="9" t="s">
        <v>5187</v>
      </c>
      <c r="K1509" s="9" t="s">
        <v>68</v>
      </c>
      <c r="L1509" s="9" t="s">
        <v>281</v>
      </c>
      <c r="M1509" s="9">
        <v>20</v>
      </c>
      <c r="N1509" s="9">
        <v>27</v>
      </c>
      <c r="O1509" s="9" t="s">
        <v>57</v>
      </c>
      <c r="P1509" s="9" t="s">
        <v>58</v>
      </c>
      <c r="Q1509" s="9">
        <v>4</v>
      </c>
      <c r="R1509" s="9">
        <v>0</v>
      </c>
      <c r="S1509" s="9">
        <v>4</v>
      </c>
      <c r="T1509" s="9">
        <v>4</v>
      </c>
      <c r="U1509" s="9">
        <v>0</v>
      </c>
      <c r="V1509" s="9" t="s">
        <v>114</v>
      </c>
      <c r="W1509" s="9">
        <v>0</v>
      </c>
      <c r="X1509" s="9">
        <v>0</v>
      </c>
      <c r="Y1509" s="9">
        <v>0</v>
      </c>
      <c r="Z1509" s="9">
        <v>0</v>
      </c>
      <c r="AA1509" s="9">
        <v>0</v>
      </c>
      <c r="AB1509" s="9">
        <v>0</v>
      </c>
      <c r="AC1509" s="9">
        <v>14</v>
      </c>
      <c r="AD1509" s="9" t="s">
        <v>0</v>
      </c>
      <c r="AE1509" s="9" t="s">
        <v>60</v>
      </c>
    </row>
    <row r="1510" spans="1:31" ht="25.5" x14ac:dyDescent="0.2">
      <c r="A1510" s="6" t="str">
        <f>HYPERLINK("http://www.patentics.cn/invokexml.do?sx=showpatent_cn&amp;sf=ShowPatent&amp;spn=CN1649319&amp;sx=showpatent_cn&amp;sv=dd6d1a69510e1cf87a98d6504db6e828","CN1649319")</f>
        <v>CN1649319</v>
      </c>
      <c r="B1510" s="7" t="s">
        <v>7745</v>
      </c>
      <c r="C1510" s="7" t="s">
        <v>7746</v>
      </c>
      <c r="D1510" s="7" t="s">
        <v>1420</v>
      </c>
      <c r="E1510" s="7" t="s">
        <v>1420</v>
      </c>
      <c r="F1510" s="7" t="s">
        <v>2922</v>
      </c>
      <c r="G1510" s="7" t="s">
        <v>2923</v>
      </c>
      <c r="H1510" s="7" t="s">
        <v>7747</v>
      </c>
      <c r="I1510" s="7" t="s">
        <v>7747</v>
      </c>
      <c r="J1510" s="7" t="s">
        <v>7748</v>
      </c>
      <c r="K1510" s="7" t="s">
        <v>68</v>
      </c>
      <c r="L1510" s="7" t="s">
        <v>7749</v>
      </c>
      <c r="M1510" s="7">
        <v>9</v>
      </c>
      <c r="N1510" s="7">
        <v>21</v>
      </c>
      <c r="O1510" s="7" t="s">
        <v>42</v>
      </c>
      <c r="P1510" s="7" t="s">
        <v>43</v>
      </c>
      <c r="Q1510" s="7">
        <v>0</v>
      </c>
      <c r="R1510" s="7">
        <v>0</v>
      </c>
      <c r="S1510" s="7">
        <v>0</v>
      </c>
      <c r="T1510" s="7">
        <v>0</v>
      </c>
      <c r="U1510" s="7">
        <v>10</v>
      </c>
      <c r="V1510" s="7" t="s">
        <v>7750</v>
      </c>
      <c r="W1510" s="7">
        <v>0</v>
      </c>
      <c r="X1510" s="7">
        <v>10</v>
      </c>
      <c r="Y1510" s="7">
        <v>7</v>
      </c>
      <c r="Z1510" s="7">
        <v>2</v>
      </c>
      <c r="AA1510" s="7">
        <v>1</v>
      </c>
      <c r="AB1510" s="7">
        <v>1</v>
      </c>
      <c r="AC1510" s="7" t="s">
        <v>0</v>
      </c>
      <c r="AD1510" s="7">
        <v>1</v>
      </c>
      <c r="AE1510" s="7" t="s">
        <v>532</v>
      </c>
    </row>
    <row r="1511" spans="1:31" ht="25.5" x14ac:dyDescent="0.2">
      <c r="A1511" s="8" t="str">
        <f>HYPERLINK("http://www.patentics.cn/invokexml.do?sx=showpatent_cn&amp;sf=ShowPatent&amp;spn=CN101810038B&amp;sx=showpatent_cn&amp;sv=b52fef5d627c68ae5087f6b2777511f9","CN101810038B")</f>
        <v>CN101810038B</v>
      </c>
      <c r="B1511" s="9" t="s">
        <v>7751</v>
      </c>
      <c r="C1511" s="9" t="s">
        <v>7752</v>
      </c>
      <c r="D1511" s="9" t="s">
        <v>301</v>
      </c>
      <c r="E1511" s="9" t="s">
        <v>301</v>
      </c>
      <c r="F1511" s="9" t="s">
        <v>7753</v>
      </c>
      <c r="G1511" s="9" t="s">
        <v>7754</v>
      </c>
      <c r="H1511" s="9" t="s">
        <v>7300</v>
      </c>
      <c r="I1511" s="9" t="s">
        <v>1012</v>
      </c>
      <c r="J1511" s="9" t="s">
        <v>5578</v>
      </c>
      <c r="K1511" s="9" t="s">
        <v>55</v>
      </c>
      <c r="L1511" s="9" t="s">
        <v>2875</v>
      </c>
      <c r="M1511" s="9">
        <v>30</v>
      </c>
      <c r="N1511" s="9">
        <v>9</v>
      </c>
      <c r="O1511" s="9" t="s">
        <v>57</v>
      </c>
      <c r="P1511" s="9" t="s">
        <v>58</v>
      </c>
      <c r="Q1511" s="9">
        <v>3</v>
      </c>
      <c r="R1511" s="9">
        <v>0</v>
      </c>
      <c r="S1511" s="9">
        <v>3</v>
      </c>
      <c r="T1511" s="9">
        <v>3</v>
      </c>
      <c r="U1511" s="9">
        <v>0</v>
      </c>
      <c r="V1511" s="9" t="s">
        <v>114</v>
      </c>
      <c r="W1511" s="9">
        <v>0</v>
      </c>
      <c r="X1511" s="9">
        <v>0</v>
      </c>
      <c r="Y1511" s="9">
        <v>0</v>
      </c>
      <c r="Z1511" s="9">
        <v>0</v>
      </c>
      <c r="AA1511" s="9">
        <v>16</v>
      </c>
      <c r="AB1511" s="9">
        <v>10</v>
      </c>
      <c r="AC1511" s="9">
        <v>14</v>
      </c>
      <c r="AD1511" s="9" t="s">
        <v>0</v>
      </c>
      <c r="AE1511" s="9" t="s">
        <v>60</v>
      </c>
    </row>
    <row r="1512" spans="1:31" ht="25.5" x14ac:dyDescent="0.2">
      <c r="A1512" s="6" t="str">
        <f>HYPERLINK("http://www.patentics.cn/invokexml.do?sx=showpatent_cn&amp;sf=ShowPatent&amp;spn=CN1648995&amp;sx=showpatent_cn&amp;sv=90434c847239e6b2303f6707a0c1b647","CN1648995")</f>
        <v>CN1648995</v>
      </c>
      <c r="B1512" s="7" t="s">
        <v>7755</v>
      </c>
      <c r="C1512" s="7" t="s">
        <v>7756</v>
      </c>
      <c r="D1512" s="7" t="s">
        <v>2246</v>
      </c>
      <c r="E1512" s="7" t="s">
        <v>2246</v>
      </c>
      <c r="F1512" s="7" t="s">
        <v>7757</v>
      </c>
      <c r="G1512" s="7" t="s">
        <v>7758</v>
      </c>
      <c r="H1512" s="7" t="s">
        <v>7759</v>
      </c>
      <c r="I1512" s="7" t="s">
        <v>7759</v>
      </c>
      <c r="J1512" s="7" t="s">
        <v>7748</v>
      </c>
      <c r="K1512" s="7" t="s">
        <v>1486</v>
      </c>
      <c r="L1512" s="7" t="s">
        <v>2641</v>
      </c>
      <c r="M1512" s="7">
        <v>7</v>
      </c>
      <c r="N1512" s="7">
        <v>19</v>
      </c>
      <c r="O1512" s="7" t="s">
        <v>42</v>
      </c>
      <c r="P1512" s="7" t="s">
        <v>43</v>
      </c>
      <c r="Q1512" s="7">
        <v>0</v>
      </c>
      <c r="R1512" s="7">
        <v>0</v>
      </c>
      <c r="S1512" s="7">
        <v>0</v>
      </c>
      <c r="T1512" s="7">
        <v>0</v>
      </c>
      <c r="U1512" s="7">
        <v>3</v>
      </c>
      <c r="V1512" s="7" t="s">
        <v>7760</v>
      </c>
      <c r="W1512" s="7">
        <v>1</v>
      </c>
      <c r="X1512" s="7">
        <v>2</v>
      </c>
      <c r="Y1512" s="7">
        <v>3</v>
      </c>
      <c r="Z1512" s="7">
        <v>1</v>
      </c>
      <c r="AA1512" s="7">
        <v>1</v>
      </c>
      <c r="AB1512" s="7">
        <v>1</v>
      </c>
      <c r="AC1512" s="7" t="s">
        <v>0</v>
      </c>
      <c r="AD1512" s="7">
        <v>1</v>
      </c>
      <c r="AE1512" s="7" t="s">
        <v>532</v>
      </c>
    </row>
    <row r="1513" spans="1:31" ht="51" x14ac:dyDescent="0.2">
      <c r="A1513" s="8" t="str">
        <f>HYPERLINK("http://www.patentics.cn/invokexml.do?sx=showpatent_cn&amp;sf=ShowPatent&amp;spn=CN101432805B&amp;sx=showpatent_cn&amp;sv=34f2d69b2dbb943a3ac63824458cf107","CN101432805B")</f>
        <v>CN101432805B</v>
      </c>
      <c r="B1513" s="9" t="s">
        <v>7761</v>
      </c>
      <c r="C1513" s="9" t="s">
        <v>7762</v>
      </c>
      <c r="D1513" s="9" t="s">
        <v>301</v>
      </c>
      <c r="E1513" s="9" t="s">
        <v>301</v>
      </c>
      <c r="F1513" s="9" t="s">
        <v>7763</v>
      </c>
      <c r="G1513" s="9" t="s">
        <v>7764</v>
      </c>
      <c r="H1513" s="9" t="s">
        <v>7765</v>
      </c>
      <c r="I1513" s="9" t="s">
        <v>4742</v>
      </c>
      <c r="J1513" s="9" t="s">
        <v>429</v>
      </c>
      <c r="K1513" s="9" t="s">
        <v>1486</v>
      </c>
      <c r="L1513" s="9" t="s">
        <v>2641</v>
      </c>
      <c r="M1513" s="9">
        <v>28</v>
      </c>
      <c r="N1513" s="9">
        <v>17</v>
      </c>
      <c r="O1513" s="9" t="s">
        <v>57</v>
      </c>
      <c r="P1513" s="9" t="s">
        <v>58</v>
      </c>
      <c r="Q1513" s="9">
        <v>1</v>
      </c>
      <c r="R1513" s="9">
        <v>0</v>
      </c>
      <c r="S1513" s="9">
        <v>1</v>
      </c>
      <c r="T1513" s="9">
        <v>1</v>
      </c>
      <c r="U1513" s="9">
        <v>0</v>
      </c>
      <c r="V1513" s="9" t="s">
        <v>114</v>
      </c>
      <c r="W1513" s="9">
        <v>0</v>
      </c>
      <c r="X1513" s="9">
        <v>0</v>
      </c>
      <c r="Y1513" s="9">
        <v>0</v>
      </c>
      <c r="Z1513" s="9">
        <v>0</v>
      </c>
      <c r="AA1513" s="9">
        <v>9</v>
      </c>
      <c r="AB1513" s="9">
        <v>6</v>
      </c>
      <c r="AC1513" s="9">
        <v>14</v>
      </c>
      <c r="AD1513" s="9" t="s">
        <v>0</v>
      </c>
      <c r="AE1513" s="9" t="s">
        <v>532</v>
      </c>
    </row>
    <row r="1514" spans="1:31" ht="25.5" x14ac:dyDescent="0.2">
      <c r="A1514" s="6" t="str">
        <f>HYPERLINK("http://www.patentics.cn/invokexml.do?sx=showpatent_cn&amp;sf=ShowPatent&amp;spn=CN1632963&amp;sx=showpatent_cn&amp;sv=220eb53d6be7185703cce28df89da98c","CN1632963")</f>
        <v>CN1632963</v>
      </c>
      <c r="B1514" s="7" t="s">
        <v>7766</v>
      </c>
      <c r="C1514" s="7" t="s">
        <v>7767</v>
      </c>
      <c r="D1514" s="7" t="s">
        <v>3572</v>
      </c>
      <c r="E1514" s="7" t="s">
        <v>3572</v>
      </c>
      <c r="F1514" s="7" t="s">
        <v>7768</v>
      </c>
      <c r="G1514" s="7" t="s">
        <v>7769</v>
      </c>
      <c r="H1514" s="7" t="s">
        <v>0</v>
      </c>
      <c r="I1514" s="7" t="s">
        <v>4615</v>
      </c>
      <c r="J1514" s="7" t="s">
        <v>2946</v>
      </c>
      <c r="K1514" s="7" t="s">
        <v>773</v>
      </c>
      <c r="L1514" s="7" t="s">
        <v>7770</v>
      </c>
      <c r="M1514" s="7">
        <v>3</v>
      </c>
      <c r="N1514" s="7">
        <v>12</v>
      </c>
      <c r="O1514" s="7" t="s">
        <v>42</v>
      </c>
      <c r="P1514" s="7" t="s">
        <v>43</v>
      </c>
      <c r="Q1514" s="7">
        <v>0</v>
      </c>
      <c r="R1514" s="7">
        <v>0</v>
      </c>
      <c r="S1514" s="7">
        <v>0</v>
      </c>
      <c r="T1514" s="7">
        <v>0</v>
      </c>
      <c r="U1514" s="7">
        <v>1</v>
      </c>
      <c r="V1514" s="7" t="s">
        <v>1752</v>
      </c>
      <c r="W1514" s="7">
        <v>0</v>
      </c>
      <c r="X1514" s="7">
        <v>1</v>
      </c>
      <c r="Y1514" s="7">
        <v>1</v>
      </c>
      <c r="Z1514" s="7">
        <v>1</v>
      </c>
      <c r="AA1514" s="7">
        <v>0</v>
      </c>
      <c r="AB1514" s="7">
        <v>0</v>
      </c>
      <c r="AC1514" s="7" t="s">
        <v>0</v>
      </c>
      <c r="AD1514" s="7">
        <v>1</v>
      </c>
      <c r="AE1514" s="7" t="s">
        <v>45</v>
      </c>
    </row>
    <row r="1515" spans="1:31" ht="25.5" x14ac:dyDescent="0.2">
      <c r="A1515" s="8" t="str">
        <f>HYPERLINK("http://www.patentics.cn/invokexml.do?sx=showpatent_cn&amp;sf=ShowPatent&amp;spn=CN104272481B&amp;sx=showpatent_cn&amp;sv=28ccac19a16db5bb02acb9f63a812dc3","CN104272481B")</f>
        <v>CN104272481B</v>
      </c>
      <c r="B1515" s="9" t="s">
        <v>7771</v>
      </c>
      <c r="C1515" s="9" t="s">
        <v>7772</v>
      </c>
      <c r="D1515" s="9" t="s">
        <v>301</v>
      </c>
      <c r="E1515" s="9" t="s">
        <v>301</v>
      </c>
      <c r="F1515" s="9" t="s">
        <v>7773</v>
      </c>
      <c r="G1515" s="9" t="s">
        <v>7774</v>
      </c>
      <c r="H1515" s="9" t="s">
        <v>2650</v>
      </c>
      <c r="I1515" s="9" t="s">
        <v>7775</v>
      </c>
      <c r="J1515" s="9" t="s">
        <v>2406</v>
      </c>
      <c r="K1515" s="9" t="s">
        <v>773</v>
      </c>
      <c r="L1515" s="9" t="s">
        <v>7776</v>
      </c>
      <c r="M1515" s="9">
        <v>26</v>
      </c>
      <c r="N1515" s="9">
        <v>15</v>
      </c>
      <c r="O1515" s="9" t="s">
        <v>57</v>
      </c>
      <c r="P1515" s="9" t="s">
        <v>58</v>
      </c>
      <c r="Q1515" s="9">
        <v>7</v>
      </c>
      <c r="R1515" s="9">
        <v>0</v>
      </c>
      <c r="S1515" s="9">
        <v>7</v>
      </c>
      <c r="T1515" s="9">
        <v>7</v>
      </c>
      <c r="U1515" s="9">
        <v>0</v>
      </c>
      <c r="V1515" s="9" t="s">
        <v>114</v>
      </c>
      <c r="W1515" s="9">
        <v>0</v>
      </c>
      <c r="X1515" s="9">
        <v>0</v>
      </c>
      <c r="Y1515" s="9">
        <v>0</v>
      </c>
      <c r="Z1515" s="9">
        <v>0</v>
      </c>
      <c r="AA1515" s="9">
        <v>0</v>
      </c>
      <c r="AB1515" s="9">
        <v>0</v>
      </c>
      <c r="AC1515" s="9">
        <v>14</v>
      </c>
      <c r="AD1515" s="9" t="s">
        <v>0</v>
      </c>
      <c r="AE1515" s="9" t="s">
        <v>60</v>
      </c>
    </row>
    <row r="1516" spans="1:31" ht="25.5" x14ac:dyDescent="0.2">
      <c r="A1516" s="6" t="str">
        <f>HYPERLINK("http://www.patentics.cn/invokexml.do?sx=showpatent_cn&amp;sf=ShowPatent&amp;spn=CN1625067&amp;sx=showpatent_cn&amp;sv=1c9b0675e570df56daf2b666643b8baa","CN1625067")</f>
        <v>CN1625067</v>
      </c>
      <c r="B1516" s="7" t="s">
        <v>7777</v>
      </c>
      <c r="C1516" s="7" t="s">
        <v>7778</v>
      </c>
      <c r="D1516" s="7" t="s">
        <v>35</v>
      </c>
      <c r="E1516" s="7" t="s">
        <v>35</v>
      </c>
      <c r="F1516" s="7" t="s">
        <v>7779</v>
      </c>
      <c r="G1516" s="7" t="s">
        <v>7779</v>
      </c>
      <c r="H1516" s="7" t="s">
        <v>7780</v>
      </c>
      <c r="I1516" s="7" t="s">
        <v>7780</v>
      </c>
      <c r="J1516" s="7" t="s">
        <v>7781</v>
      </c>
      <c r="K1516" s="7" t="s">
        <v>89</v>
      </c>
      <c r="L1516" s="7" t="s">
        <v>1961</v>
      </c>
      <c r="M1516" s="7">
        <v>4</v>
      </c>
      <c r="N1516" s="7">
        <v>55</v>
      </c>
      <c r="O1516" s="7" t="s">
        <v>42</v>
      </c>
      <c r="P1516" s="7" t="s">
        <v>43</v>
      </c>
      <c r="Q1516" s="7">
        <v>0</v>
      </c>
      <c r="R1516" s="7">
        <v>0</v>
      </c>
      <c r="S1516" s="7">
        <v>0</v>
      </c>
      <c r="T1516" s="7">
        <v>0</v>
      </c>
      <c r="U1516" s="7">
        <v>5</v>
      </c>
      <c r="V1516" s="7" t="s">
        <v>7075</v>
      </c>
      <c r="W1516" s="7">
        <v>0</v>
      </c>
      <c r="X1516" s="7">
        <v>5</v>
      </c>
      <c r="Y1516" s="7">
        <v>4</v>
      </c>
      <c r="Z1516" s="7">
        <v>2</v>
      </c>
      <c r="AA1516" s="7">
        <v>1</v>
      </c>
      <c r="AB1516" s="7">
        <v>1</v>
      </c>
      <c r="AC1516" s="7" t="s">
        <v>0</v>
      </c>
      <c r="AD1516" s="7">
        <v>1</v>
      </c>
      <c r="AE1516" s="7" t="s">
        <v>532</v>
      </c>
    </row>
    <row r="1517" spans="1:31" ht="153" x14ac:dyDescent="0.2">
      <c r="A1517" s="8" t="str">
        <f>HYPERLINK("http://www.patentics.cn/invokexml.do?sx=showpatent_cn&amp;sf=ShowPatent&amp;spn=US8477888&amp;sx=showpatent_cn&amp;sv=d7b77e9b581579fbc97abddcc8202552","US8477888")</f>
        <v>US8477888</v>
      </c>
      <c r="B1517" s="9" t="s">
        <v>7782</v>
      </c>
      <c r="C1517" s="9" t="s">
        <v>7783</v>
      </c>
      <c r="D1517" s="9" t="s">
        <v>48</v>
      </c>
      <c r="E1517" s="9" t="s">
        <v>49</v>
      </c>
      <c r="F1517" s="9" t="s">
        <v>7784</v>
      </c>
      <c r="G1517" s="9" t="s">
        <v>7785</v>
      </c>
      <c r="H1517" s="9" t="s">
        <v>7786</v>
      </c>
      <c r="I1517" s="9" t="s">
        <v>7786</v>
      </c>
      <c r="J1517" s="9" t="s">
        <v>77</v>
      </c>
      <c r="K1517" s="9" t="s">
        <v>437</v>
      </c>
      <c r="L1517" s="9" t="s">
        <v>7787</v>
      </c>
      <c r="M1517" s="9">
        <v>31</v>
      </c>
      <c r="N1517" s="9">
        <v>14</v>
      </c>
      <c r="O1517" s="9" t="s">
        <v>57</v>
      </c>
      <c r="P1517" s="9" t="s">
        <v>58</v>
      </c>
      <c r="Q1517" s="9">
        <v>24</v>
      </c>
      <c r="R1517" s="9">
        <v>1</v>
      </c>
      <c r="S1517" s="9">
        <v>23</v>
      </c>
      <c r="T1517" s="9">
        <v>17</v>
      </c>
      <c r="U1517" s="9">
        <v>5</v>
      </c>
      <c r="V1517" s="9" t="s">
        <v>264</v>
      </c>
      <c r="W1517" s="9">
        <v>0</v>
      </c>
      <c r="X1517" s="9">
        <v>5</v>
      </c>
      <c r="Y1517" s="9">
        <v>1</v>
      </c>
      <c r="Z1517" s="9">
        <v>1</v>
      </c>
      <c r="AA1517" s="9">
        <v>9</v>
      </c>
      <c r="AB1517" s="9">
        <v>7</v>
      </c>
      <c r="AC1517" s="9">
        <v>14</v>
      </c>
      <c r="AD1517" s="9" t="s">
        <v>0</v>
      </c>
      <c r="AE1517" s="9" t="s">
        <v>532</v>
      </c>
    </row>
    <row r="1518" spans="1:31" ht="38.25" x14ac:dyDescent="0.2">
      <c r="A1518" s="6" t="str">
        <f>HYPERLINK("http://www.patentics.cn/invokexml.do?sx=showpatent_cn&amp;sf=ShowPatent&amp;spn=CN1606033&amp;sx=showpatent_cn&amp;sv=35571b9cb615f555826a89ed904d07ed","CN1606033")</f>
        <v>CN1606033</v>
      </c>
      <c r="B1518" s="7" t="s">
        <v>7788</v>
      </c>
      <c r="C1518" s="7" t="s">
        <v>7789</v>
      </c>
      <c r="D1518" s="7" t="s">
        <v>1341</v>
      </c>
      <c r="E1518" s="7" t="s">
        <v>1341</v>
      </c>
      <c r="F1518" s="7" t="s">
        <v>7790</v>
      </c>
      <c r="G1518" s="7" t="s">
        <v>7791</v>
      </c>
      <c r="H1518" s="7" t="s">
        <v>7792</v>
      </c>
      <c r="I1518" s="7" t="s">
        <v>7792</v>
      </c>
      <c r="J1518" s="7" t="s">
        <v>7793</v>
      </c>
      <c r="K1518" s="7" t="s">
        <v>529</v>
      </c>
      <c r="L1518" s="7" t="s">
        <v>7794</v>
      </c>
      <c r="M1518" s="7">
        <v>2</v>
      </c>
      <c r="N1518" s="7">
        <v>23</v>
      </c>
      <c r="O1518" s="7" t="s">
        <v>42</v>
      </c>
      <c r="P1518" s="7" t="s">
        <v>43</v>
      </c>
      <c r="Q1518" s="7">
        <v>0</v>
      </c>
      <c r="R1518" s="7">
        <v>0</v>
      </c>
      <c r="S1518" s="7">
        <v>0</v>
      </c>
      <c r="T1518" s="7">
        <v>0</v>
      </c>
      <c r="U1518" s="7">
        <v>13</v>
      </c>
      <c r="V1518" s="7" t="s">
        <v>7795</v>
      </c>
      <c r="W1518" s="7">
        <v>1</v>
      </c>
      <c r="X1518" s="7">
        <v>12</v>
      </c>
      <c r="Y1518" s="7">
        <v>11</v>
      </c>
      <c r="Z1518" s="7">
        <v>2</v>
      </c>
      <c r="AA1518" s="7">
        <v>0</v>
      </c>
      <c r="AB1518" s="7">
        <v>0</v>
      </c>
      <c r="AC1518" s="7" t="s">
        <v>0</v>
      </c>
      <c r="AD1518" s="7">
        <v>1</v>
      </c>
      <c r="AE1518" s="7" t="s">
        <v>45</v>
      </c>
    </row>
    <row r="1519" spans="1:31" ht="76.5" x14ac:dyDescent="0.2">
      <c r="A1519" s="8" t="str">
        <f>HYPERLINK("http://www.patentics.cn/invokexml.do?sx=showpatent_cn&amp;sf=ShowPatent&amp;spn=US8306336&amp;sx=showpatent_cn&amp;sv=76660acd625f81126a7c7e092a2e0385","US8306336")</f>
        <v>US8306336</v>
      </c>
      <c r="B1519" s="9" t="s">
        <v>7796</v>
      </c>
      <c r="C1519" s="9" t="s">
        <v>7797</v>
      </c>
      <c r="D1519" s="9" t="s">
        <v>48</v>
      </c>
      <c r="E1519" s="9" t="s">
        <v>49</v>
      </c>
      <c r="F1519" s="9" t="s">
        <v>7798</v>
      </c>
      <c r="G1519" s="9" t="s">
        <v>7799</v>
      </c>
      <c r="H1519" s="9" t="s">
        <v>7561</v>
      </c>
      <c r="I1519" s="9" t="s">
        <v>7561</v>
      </c>
      <c r="J1519" s="9" t="s">
        <v>5669</v>
      </c>
      <c r="K1519" s="9" t="s">
        <v>529</v>
      </c>
      <c r="L1519" s="9" t="s">
        <v>7800</v>
      </c>
      <c r="M1519" s="9">
        <v>30</v>
      </c>
      <c r="N1519" s="9">
        <v>19</v>
      </c>
      <c r="O1519" s="9" t="s">
        <v>57</v>
      </c>
      <c r="P1519" s="9" t="s">
        <v>58</v>
      </c>
      <c r="Q1519" s="9">
        <v>32</v>
      </c>
      <c r="R1519" s="9">
        <v>1</v>
      </c>
      <c r="S1519" s="9">
        <v>31</v>
      </c>
      <c r="T1519" s="9">
        <v>24</v>
      </c>
      <c r="U1519" s="9">
        <v>3</v>
      </c>
      <c r="V1519" s="9" t="s">
        <v>7801</v>
      </c>
      <c r="W1519" s="9">
        <v>2</v>
      </c>
      <c r="X1519" s="9">
        <v>1</v>
      </c>
      <c r="Y1519" s="9">
        <v>2</v>
      </c>
      <c r="Z1519" s="9">
        <v>1</v>
      </c>
      <c r="AA1519" s="9">
        <v>8</v>
      </c>
      <c r="AB1519" s="9">
        <v>6</v>
      </c>
      <c r="AC1519" s="9">
        <v>14</v>
      </c>
      <c r="AD1519" s="9" t="s">
        <v>0</v>
      </c>
      <c r="AE1519" s="9" t="s">
        <v>532</v>
      </c>
    </row>
    <row r="1520" spans="1:31" ht="25.5" x14ac:dyDescent="0.2">
      <c r="A1520" s="6" t="str">
        <f>HYPERLINK("http://www.patentics.cn/invokexml.do?sx=showpatent_cn&amp;sf=ShowPatent&amp;spn=CN1604497&amp;sx=showpatent_cn&amp;sv=488705133e5c06e26df81d5e67e5e230","CN1604497")</f>
        <v>CN1604497</v>
      </c>
      <c r="B1520" s="7" t="s">
        <v>7802</v>
      </c>
      <c r="C1520" s="7" t="s">
        <v>7803</v>
      </c>
      <c r="D1520" s="7" t="s">
        <v>1383</v>
      </c>
      <c r="E1520" s="7" t="s">
        <v>1383</v>
      </c>
      <c r="F1520" s="7" t="s">
        <v>7804</v>
      </c>
      <c r="G1520" s="7" t="s">
        <v>7331</v>
      </c>
      <c r="H1520" s="7" t="s">
        <v>7805</v>
      </c>
      <c r="I1520" s="7" t="s">
        <v>7805</v>
      </c>
      <c r="J1520" s="7" t="s">
        <v>7806</v>
      </c>
      <c r="K1520" s="7" t="s">
        <v>89</v>
      </c>
      <c r="L1520" s="7" t="s">
        <v>294</v>
      </c>
      <c r="M1520" s="7">
        <v>6</v>
      </c>
      <c r="N1520" s="7">
        <v>65</v>
      </c>
      <c r="O1520" s="7" t="s">
        <v>42</v>
      </c>
      <c r="P1520" s="7" t="s">
        <v>43</v>
      </c>
      <c r="Q1520" s="7">
        <v>0</v>
      </c>
      <c r="R1520" s="7">
        <v>0</v>
      </c>
      <c r="S1520" s="7">
        <v>0</v>
      </c>
      <c r="T1520" s="7">
        <v>0</v>
      </c>
      <c r="U1520" s="7">
        <v>11</v>
      </c>
      <c r="V1520" s="7" t="s">
        <v>7807</v>
      </c>
      <c r="W1520" s="7">
        <v>2</v>
      </c>
      <c r="X1520" s="7">
        <v>9</v>
      </c>
      <c r="Y1520" s="7">
        <v>7</v>
      </c>
      <c r="Z1520" s="7">
        <v>2</v>
      </c>
      <c r="AA1520" s="7">
        <v>0</v>
      </c>
      <c r="AB1520" s="7">
        <v>0</v>
      </c>
      <c r="AC1520" s="7" t="s">
        <v>0</v>
      </c>
      <c r="AD1520" s="7">
        <v>1</v>
      </c>
      <c r="AE1520" s="7" t="s">
        <v>45</v>
      </c>
    </row>
    <row r="1521" spans="1:31" ht="25.5" x14ac:dyDescent="0.2">
      <c r="A1521" s="8" t="str">
        <f>HYPERLINK("http://www.patentics.cn/invokexml.do?sx=showpatent_cn&amp;sf=ShowPatent&amp;spn=CN101189823B&amp;sx=showpatent_cn&amp;sv=1223665fc0572088ca4d77ef4feb0c01","CN101189823B")</f>
        <v>CN101189823B</v>
      </c>
      <c r="B1521" s="9" t="s">
        <v>7808</v>
      </c>
      <c r="C1521" s="9" t="s">
        <v>7809</v>
      </c>
      <c r="D1521" s="9" t="s">
        <v>301</v>
      </c>
      <c r="E1521" s="9" t="s">
        <v>301</v>
      </c>
      <c r="F1521" s="9" t="s">
        <v>7810</v>
      </c>
      <c r="G1521" s="9" t="s">
        <v>7811</v>
      </c>
      <c r="H1521" s="9" t="s">
        <v>65</v>
      </c>
      <c r="I1521" s="9" t="s">
        <v>7812</v>
      </c>
      <c r="J1521" s="9" t="s">
        <v>1312</v>
      </c>
      <c r="K1521" s="9" t="s">
        <v>89</v>
      </c>
      <c r="L1521" s="9" t="s">
        <v>340</v>
      </c>
      <c r="M1521" s="9">
        <v>18</v>
      </c>
      <c r="N1521" s="9">
        <v>18</v>
      </c>
      <c r="O1521" s="9" t="s">
        <v>57</v>
      </c>
      <c r="P1521" s="9" t="s">
        <v>58</v>
      </c>
      <c r="Q1521" s="9">
        <v>3</v>
      </c>
      <c r="R1521" s="9">
        <v>0</v>
      </c>
      <c r="S1521" s="9">
        <v>3</v>
      </c>
      <c r="T1521" s="9">
        <v>3</v>
      </c>
      <c r="U1521" s="9">
        <v>0</v>
      </c>
      <c r="V1521" s="9" t="s">
        <v>114</v>
      </c>
      <c r="W1521" s="9">
        <v>0</v>
      </c>
      <c r="X1521" s="9">
        <v>0</v>
      </c>
      <c r="Y1521" s="9">
        <v>0</v>
      </c>
      <c r="Z1521" s="9">
        <v>0</v>
      </c>
      <c r="AA1521" s="9">
        <v>36</v>
      </c>
      <c r="AB1521" s="9">
        <v>8</v>
      </c>
      <c r="AC1521" s="9">
        <v>14</v>
      </c>
      <c r="AD1521" s="9" t="s">
        <v>0</v>
      </c>
      <c r="AE1521" s="9" t="s">
        <v>60</v>
      </c>
    </row>
    <row r="1522" spans="1:31" ht="25.5" x14ac:dyDescent="0.2">
      <c r="A1522" s="6" t="str">
        <f>HYPERLINK("http://www.patentics.cn/invokexml.do?sx=showpatent_cn&amp;sf=ShowPatent&amp;spn=CN1601448&amp;sx=showpatent_cn&amp;sv=b5c1eaf633ec5a9b6c906e3bc7cdf76e","CN1601448")</f>
        <v>CN1601448</v>
      </c>
      <c r="B1522" s="7" t="s">
        <v>7813</v>
      </c>
      <c r="C1522" s="7" t="s">
        <v>7814</v>
      </c>
      <c r="D1522" s="7" t="s">
        <v>1383</v>
      </c>
      <c r="E1522" s="7" t="s">
        <v>1383</v>
      </c>
      <c r="F1522" s="7" t="s">
        <v>7815</v>
      </c>
      <c r="G1522" s="7" t="s">
        <v>7816</v>
      </c>
      <c r="H1522" s="7" t="s">
        <v>7817</v>
      </c>
      <c r="I1522" s="7" t="s">
        <v>7817</v>
      </c>
      <c r="J1522" s="7" t="s">
        <v>7818</v>
      </c>
      <c r="K1522" s="7" t="s">
        <v>885</v>
      </c>
      <c r="L1522" s="7" t="s">
        <v>4856</v>
      </c>
      <c r="M1522" s="7">
        <v>7</v>
      </c>
      <c r="N1522" s="7">
        <v>28</v>
      </c>
      <c r="O1522" s="7" t="s">
        <v>42</v>
      </c>
      <c r="P1522" s="7" t="s">
        <v>43</v>
      </c>
      <c r="Q1522" s="7">
        <v>0</v>
      </c>
      <c r="R1522" s="7">
        <v>0</v>
      </c>
      <c r="S1522" s="7">
        <v>0</v>
      </c>
      <c r="T1522" s="7">
        <v>0</v>
      </c>
      <c r="U1522" s="7">
        <v>19</v>
      </c>
      <c r="V1522" s="7" t="s">
        <v>7819</v>
      </c>
      <c r="W1522" s="7">
        <v>0</v>
      </c>
      <c r="X1522" s="7">
        <v>19</v>
      </c>
      <c r="Y1522" s="7">
        <v>13</v>
      </c>
      <c r="Z1522" s="7">
        <v>1</v>
      </c>
      <c r="AA1522" s="7">
        <v>1</v>
      </c>
      <c r="AB1522" s="7">
        <v>1</v>
      </c>
      <c r="AC1522" s="7" t="s">
        <v>0</v>
      </c>
      <c r="AD1522" s="7">
        <v>1</v>
      </c>
      <c r="AE1522" s="7" t="s">
        <v>60</v>
      </c>
    </row>
    <row r="1523" spans="1:31" ht="51" x14ac:dyDescent="0.2">
      <c r="A1523" s="8" t="str">
        <f>HYPERLINK("http://www.patentics.cn/invokexml.do?sx=showpatent_cn&amp;sf=ShowPatent&amp;spn=CN103257684B&amp;sx=showpatent_cn&amp;sv=e2e6a3f10464d172315405cf89fe0086","CN103257684B")</f>
        <v>CN103257684B</v>
      </c>
      <c r="B1523" s="9" t="s">
        <v>7820</v>
      </c>
      <c r="C1523" s="9" t="s">
        <v>7821</v>
      </c>
      <c r="D1523" s="9" t="s">
        <v>301</v>
      </c>
      <c r="E1523" s="9" t="s">
        <v>301</v>
      </c>
      <c r="F1523" s="9" t="s">
        <v>7822</v>
      </c>
      <c r="G1523" s="9" t="s">
        <v>7823</v>
      </c>
      <c r="H1523" s="9" t="s">
        <v>7640</v>
      </c>
      <c r="I1523" s="9" t="s">
        <v>7561</v>
      </c>
      <c r="J1523" s="9" t="s">
        <v>2284</v>
      </c>
      <c r="K1523" s="9" t="s">
        <v>885</v>
      </c>
      <c r="L1523" s="9" t="s">
        <v>886</v>
      </c>
      <c r="M1523" s="9">
        <v>24</v>
      </c>
      <c r="N1523" s="9">
        <v>19</v>
      </c>
      <c r="O1523" s="9" t="s">
        <v>57</v>
      </c>
      <c r="P1523" s="9" t="s">
        <v>58</v>
      </c>
      <c r="Q1523" s="9">
        <v>4</v>
      </c>
      <c r="R1523" s="9">
        <v>0</v>
      </c>
      <c r="S1523" s="9">
        <v>4</v>
      </c>
      <c r="T1523" s="9">
        <v>4</v>
      </c>
      <c r="U1523" s="9">
        <v>0</v>
      </c>
      <c r="V1523" s="9" t="s">
        <v>114</v>
      </c>
      <c r="W1523" s="9">
        <v>0</v>
      </c>
      <c r="X1523" s="9">
        <v>0</v>
      </c>
      <c r="Y1523" s="9">
        <v>0</v>
      </c>
      <c r="Z1523" s="9">
        <v>0</v>
      </c>
      <c r="AA1523" s="9">
        <v>0</v>
      </c>
      <c r="AB1523" s="9">
        <v>0</v>
      </c>
      <c r="AC1523" s="9">
        <v>14</v>
      </c>
      <c r="AD1523" s="9" t="s">
        <v>0</v>
      </c>
      <c r="AE1523" s="9" t="s">
        <v>60</v>
      </c>
    </row>
    <row r="1524" spans="1:31" ht="76.5" x14ac:dyDescent="0.2">
      <c r="A1524" s="6" t="str">
        <f>HYPERLINK("http://www.patentics.cn/invokexml.do?sx=showpatent_cn&amp;sf=ShowPatent&amp;spn=CN1599355&amp;sx=showpatent_cn&amp;sv=06dc8de6b25c4c6fc97fff61c33d46e6","CN1599355")</f>
        <v>CN1599355</v>
      </c>
      <c r="B1524" s="7" t="s">
        <v>7824</v>
      </c>
      <c r="C1524" s="7" t="s">
        <v>7825</v>
      </c>
      <c r="D1524" s="7" t="s">
        <v>4056</v>
      </c>
      <c r="E1524" s="7" t="s">
        <v>4056</v>
      </c>
      <c r="F1524" s="7" t="s">
        <v>7826</v>
      </c>
      <c r="G1524" s="7" t="s">
        <v>4058</v>
      </c>
      <c r="H1524" s="7" t="s">
        <v>7827</v>
      </c>
      <c r="I1524" s="7" t="s">
        <v>7827</v>
      </c>
      <c r="J1524" s="7" t="s">
        <v>4573</v>
      </c>
      <c r="K1524" s="7" t="s">
        <v>68</v>
      </c>
      <c r="L1524" s="7" t="s">
        <v>1946</v>
      </c>
      <c r="M1524" s="7">
        <v>7</v>
      </c>
      <c r="N1524" s="7">
        <v>18</v>
      </c>
      <c r="O1524" s="7" t="s">
        <v>42</v>
      </c>
      <c r="P1524" s="7" t="s">
        <v>43</v>
      </c>
      <c r="Q1524" s="7">
        <v>0</v>
      </c>
      <c r="R1524" s="7">
        <v>0</v>
      </c>
      <c r="S1524" s="7">
        <v>0</v>
      </c>
      <c r="T1524" s="7">
        <v>0</v>
      </c>
      <c r="U1524" s="7">
        <v>6</v>
      </c>
      <c r="V1524" s="7" t="s">
        <v>7828</v>
      </c>
      <c r="W1524" s="7">
        <v>0</v>
      </c>
      <c r="X1524" s="7">
        <v>6</v>
      </c>
      <c r="Y1524" s="7">
        <v>3</v>
      </c>
      <c r="Z1524" s="7">
        <v>2</v>
      </c>
      <c r="AA1524" s="7">
        <v>0</v>
      </c>
      <c r="AB1524" s="7">
        <v>0</v>
      </c>
      <c r="AC1524" s="7" t="s">
        <v>0</v>
      </c>
      <c r="AD1524" s="7">
        <v>1</v>
      </c>
      <c r="AE1524" s="7" t="s">
        <v>1390</v>
      </c>
    </row>
    <row r="1525" spans="1:31" ht="38.25" x14ac:dyDescent="0.2">
      <c r="A1525" s="8" t="str">
        <f>HYPERLINK("http://www.patentics.cn/invokexml.do?sx=showpatent_cn&amp;sf=ShowPatent&amp;spn=CN101779423B&amp;sx=showpatent_cn&amp;sv=881325f575d0f14ed61e2276f23130ed","CN101779423B")</f>
        <v>CN101779423B</v>
      </c>
      <c r="B1525" s="9" t="s">
        <v>7829</v>
      </c>
      <c r="C1525" s="9" t="s">
        <v>7830</v>
      </c>
      <c r="D1525" s="9" t="s">
        <v>301</v>
      </c>
      <c r="E1525" s="9" t="s">
        <v>301</v>
      </c>
      <c r="F1525" s="9" t="s">
        <v>7831</v>
      </c>
      <c r="G1525" s="9" t="s">
        <v>7832</v>
      </c>
      <c r="H1525" s="9" t="s">
        <v>7833</v>
      </c>
      <c r="I1525" s="9" t="s">
        <v>7834</v>
      </c>
      <c r="J1525" s="9" t="s">
        <v>5645</v>
      </c>
      <c r="K1525" s="9" t="s">
        <v>68</v>
      </c>
      <c r="L1525" s="9" t="s">
        <v>7835</v>
      </c>
      <c r="M1525" s="9">
        <v>43</v>
      </c>
      <c r="N1525" s="9">
        <v>13</v>
      </c>
      <c r="O1525" s="9" t="s">
        <v>57</v>
      </c>
      <c r="P1525" s="9" t="s">
        <v>58</v>
      </c>
      <c r="Q1525" s="9">
        <v>3</v>
      </c>
      <c r="R1525" s="9">
        <v>0</v>
      </c>
      <c r="S1525" s="9">
        <v>3</v>
      </c>
      <c r="T1525" s="9">
        <v>2</v>
      </c>
      <c r="U1525" s="9">
        <v>0</v>
      </c>
      <c r="V1525" s="9" t="s">
        <v>114</v>
      </c>
      <c r="W1525" s="9">
        <v>0</v>
      </c>
      <c r="X1525" s="9">
        <v>0</v>
      </c>
      <c r="Y1525" s="9">
        <v>0</v>
      </c>
      <c r="Z1525" s="9">
        <v>0</v>
      </c>
      <c r="AA1525" s="9">
        <v>10</v>
      </c>
      <c r="AB1525" s="9">
        <v>7</v>
      </c>
      <c r="AC1525" s="9">
        <v>14</v>
      </c>
      <c r="AD1525" s="9" t="s">
        <v>0</v>
      </c>
      <c r="AE1525" s="9" t="s">
        <v>532</v>
      </c>
    </row>
    <row r="1526" spans="1:31" ht="51" x14ac:dyDescent="0.2">
      <c r="A1526" s="6" t="str">
        <f>HYPERLINK("http://www.patentics.cn/invokexml.do?sx=showpatent_cn&amp;sf=ShowPatent&amp;spn=CN1588987&amp;sx=showpatent_cn&amp;sv=33a46c56b4c13cb386084a021c551ede","CN1588987")</f>
        <v>CN1588987</v>
      </c>
      <c r="B1526" s="7" t="s">
        <v>7836</v>
      </c>
      <c r="C1526" s="7" t="s">
        <v>7837</v>
      </c>
      <c r="D1526" s="7" t="s">
        <v>1341</v>
      </c>
      <c r="E1526" s="7" t="s">
        <v>1341</v>
      </c>
      <c r="F1526" s="7" t="s">
        <v>7838</v>
      </c>
      <c r="G1526" s="7" t="s">
        <v>7839</v>
      </c>
      <c r="H1526" s="7" t="s">
        <v>7840</v>
      </c>
      <c r="I1526" s="7" t="s">
        <v>7840</v>
      </c>
      <c r="J1526" s="7" t="s">
        <v>7841</v>
      </c>
      <c r="K1526" s="7" t="s">
        <v>714</v>
      </c>
      <c r="L1526" s="7" t="s">
        <v>7842</v>
      </c>
      <c r="M1526" s="7">
        <v>4</v>
      </c>
      <c r="N1526" s="7">
        <v>20</v>
      </c>
      <c r="O1526" s="7" t="s">
        <v>42</v>
      </c>
      <c r="P1526" s="7" t="s">
        <v>43</v>
      </c>
      <c r="Q1526" s="7">
        <v>0</v>
      </c>
      <c r="R1526" s="7">
        <v>0</v>
      </c>
      <c r="S1526" s="7">
        <v>0</v>
      </c>
      <c r="T1526" s="7">
        <v>0</v>
      </c>
      <c r="U1526" s="7">
        <v>3</v>
      </c>
      <c r="V1526" s="7" t="s">
        <v>3135</v>
      </c>
      <c r="W1526" s="7">
        <v>0</v>
      </c>
      <c r="X1526" s="7">
        <v>3</v>
      </c>
      <c r="Y1526" s="7">
        <v>3</v>
      </c>
      <c r="Z1526" s="7">
        <v>2</v>
      </c>
      <c r="AA1526" s="7">
        <v>1</v>
      </c>
      <c r="AB1526" s="7">
        <v>1</v>
      </c>
      <c r="AC1526" s="7" t="s">
        <v>0</v>
      </c>
      <c r="AD1526" s="7">
        <v>1</v>
      </c>
      <c r="AE1526" s="7" t="s">
        <v>532</v>
      </c>
    </row>
    <row r="1527" spans="1:31" ht="89.25" x14ac:dyDescent="0.2">
      <c r="A1527" s="8" t="str">
        <f>HYPERLINK("http://www.patentics.cn/invokexml.do?sx=showpatent_cn&amp;sf=ShowPatent&amp;spn=US8908577&amp;sx=showpatent_cn&amp;sv=ae084a0078532354a344cb99320a99b9","US8908577")</f>
        <v>US8908577</v>
      </c>
      <c r="B1527" s="9" t="s">
        <v>7843</v>
      </c>
      <c r="C1527" s="9" t="s">
        <v>7844</v>
      </c>
      <c r="D1527" s="9" t="s">
        <v>48</v>
      </c>
      <c r="E1527" s="9" t="s">
        <v>49</v>
      </c>
      <c r="F1527" s="9" t="s">
        <v>7845</v>
      </c>
      <c r="G1527" s="9" t="s">
        <v>7846</v>
      </c>
      <c r="H1527" s="9" t="s">
        <v>7847</v>
      </c>
      <c r="I1527" s="9" t="s">
        <v>7527</v>
      </c>
      <c r="J1527" s="9" t="s">
        <v>407</v>
      </c>
      <c r="K1527" s="9" t="s">
        <v>89</v>
      </c>
      <c r="L1527" s="9" t="s">
        <v>136</v>
      </c>
      <c r="M1527" s="9">
        <v>55</v>
      </c>
      <c r="N1527" s="9">
        <v>29</v>
      </c>
      <c r="O1527" s="9" t="s">
        <v>57</v>
      </c>
      <c r="P1527" s="9" t="s">
        <v>58</v>
      </c>
      <c r="Q1527" s="9">
        <v>21</v>
      </c>
      <c r="R1527" s="9">
        <v>3</v>
      </c>
      <c r="S1527" s="9">
        <v>18</v>
      </c>
      <c r="T1527" s="9">
        <v>12</v>
      </c>
      <c r="U1527" s="9">
        <v>0</v>
      </c>
      <c r="V1527" s="9" t="s">
        <v>114</v>
      </c>
      <c r="W1527" s="9">
        <v>0</v>
      </c>
      <c r="X1527" s="9">
        <v>0</v>
      </c>
      <c r="Y1527" s="9">
        <v>0</v>
      </c>
      <c r="Z1527" s="9">
        <v>0</v>
      </c>
      <c r="AA1527" s="9">
        <v>9</v>
      </c>
      <c r="AB1527" s="9">
        <v>6</v>
      </c>
      <c r="AC1527" s="9">
        <v>14</v>
      </c>
      <c r="AD1527" s="9" t="s">
        <v>0</v>
      </c>
      <c r="AE1527" s="9" t="s">
        <v>60</v>
      </c>
    </row>
    <row r="1528" spans="1:31" ht="38.25" x14ac:dyDescent="0.2">
      <c r="A1528" s="6" t="str">
        <f>HYPERLINK("http://www.patentics.cn/invokexml.do?sx=showpatent_cn&amp;sf=ShowPatent&amp;spn=CN1588429&amp;sx=showpatent_cn&amp;sv=ba1f9aeaf4e718a860482956717b39a6","CN1588429")</f>
        <v>CN1588429</v>
      </c>
      <c r="B1528" s="7" t="s">
        <v>7848</v>
      </c>
      <c r="C1528" s="7" t="s">
        <v>7849</v>
      </c>
      <c r="D1528" s="7" t="s">
        <v>2246</v>
      </c>
      <c r="E1528" s="7" t="s">
        <v>2246</v>
      </c>
      <c r="F1528" s="7" t="s">
        <v>7850</v>
      </c>
      <c r="G1528" s="7" t="s">
        <v>2248</v>
      </c>
      <c r="H1528" s="7" t="s">
        <v>7851</v>
      </c>
      <c r="I1528" s="7" t="s">
        <v>7851</v>
      </c>
      <c r="J1528" s="7" t="s">
        <v>7841</v>
      </c>
      <c r="K1528" s="7" t="s">
        <v>529</v>
      </c>
      <c r="L1528" s="7" t="s">
        <v>1424</v>
      </c>
      <c r="M1528" s="7">
        <v>3</v>
      </c>
      <c r="N1528" s="7">
        <v>15</v>
      </c>
      <c r="O1528" s="7" t="s">
        <v>42</v>
      </c>
      <c r="P1528" s="7" t="s">
        <v>43</v>
      </c>
      <c r="Q1528" s="7">
        <v>0</v>
      </c>
      <c r="R1528" s="7">
        <v>0</v>
      </c>
      <c r="S1528" s="7">
        <v>0</v>
      </c>
      <c r="T1528" s="7">
        <v>0</v>
      </c>
      <c r="U1528" s="7">
        <v>2</v>
      </c>
      <c r="V1528" s="7" t="s">
        <v>3882</v>
      </c>
      <c r="W1528" s="7">
        <v>0</v>
      </c>
      <c r="X1528" s="7">
        <v>2</v>
      </c>
      <c r="Y1528" s="7">
        <v>2</v>
      </c>
      <c r="Z1528" s="7">
        <v>1</v>
      </c>
      <c r="AA1528" s="7">
        <v>1</v>
      </c>
      <c r="AB1528" s="7">
        <v>1</v>
      </c>
      <c r="AC1528" s="7" t="s">
        <v>0</v>
      </c>
      <c r="AD1528" s="7">
        <v>1</v>
      </c>
      <c r="AE1528" s="7" t="s">
        <v>532</v>
      </c>
    </row>
    <row r="1529" spans="1:31" ht="38.25" x14ac:dyDescent="0.2">
      <c r="A1529" s="8" t="str">
        <f>HYPERLINK("http://www.patentics.cn/invokexml.do?sx=showpatent_cn&amp;sf=ShowPatent&amp;spn=CN101288103B&amp;sx=showpatent_cn&amp;sv=a5e855829f6ce91dede64feeeefa2c4c","CN101288103B")</f>
        <v>CN101288103B</v>
      </c>
      <c r="B1529" s="9" t="s">
        <v>7852</v>
      </c>
      <c r="C1529" s="9" t="s">
        <v>7853</v>
      </c>
      <c r="D1529" s="9" t="s">
        <v>301</v>
      </c>
      <c r="E1529" s="9" t="s">
        <v>301</v>
      </c>
      <c r="F1529" s="9" t="s">
        <v>7854</v>
      </c>
      <c r="G1529" s="9" t="s">
        <v>7855</v>
      </c>
      <c r="H1529" s="9" t="s">
        <v>7612</v>
      </c>
      <c r="I1529" s="9" t="s">
        <v>7856</v>
      </c>
      <c r="J1529" s="9" t="s">
        <v>1094</v>
      </c>
      <c r="K1529" s="9" t="s">
        <v>2163</v>
      </c>
      <c r="L1529" s="9" t="s">
        <v>7857</v>
      </c>
      <c r="M1529" s="9">
        <v>31</v>
      </c>
      <c r="N1529" s="9">
        <v>14</v>
      </c>
      <c r="O1529" s="9" t="s">
        <v>57</v>
      </c>
      <c r="P1529" s="9" t="s">
        <v>58</v>
      </c>
      <c r="Q1529" s="9">
        <v>2</v>
      </c>
      <c r="R1529" s="9">
        <v>0</v>
      </c>
      <c r="S1529" s="9">
        <v>2</v>
      </c>
      <c r="T1529" s="9">
        <v>2</v>
      </c>
      <c r="U1529" s="9">
        <v>0</v>
      </c>
      <c r="V1529" s="9" t="s">
        <v>114</v>
      </c>
      <c r="W1529" s="9">
        <v>0</v>
      </c>
      <c r="X1529" s="9">
        <v>0</v>
      </c>
      <c r="Y1529" s="9">
        <v>0</v>
      </c>
      <c r="Z1529" s="9">
        <v>0</v>
      </c>
      <c r="AA1529" s="9">
        <v>12</v>
      </c>
      <c r="AB1529" s="9">
        <v>6</v>
      </c>
      <c r="AC1529" s="9">
        <v>14</v>
      </c>
      <c r="AD1529" s="9" t="s">
        <v>0</v>
      </c>
      <c r="AE1529" s="9" t="s">
        <v>532</v>
      </c>
    </row>
    <row r="1530" spans="1:31" ht="25.5" x14ac:dyDescent="0.2">
      <c r="A1530" s="6" t="str">
        <f>HYPERLINK("http://www.patentics.cn/invokexml.do?sx=showpatent_cn&amp;sf=ShowPatent&amp;spn=CN1585403&amp;sx=showpatent_cn&amp;sv=cfc63818f48be6fed89cc7cf51dd6d4d","CN1585403")</f>
        <v>CN1585403</v>
      </c>
      <c r="B1530" s="7" t="s">
        <v>7858</v>
      </c>
      <c r="C1530" s="7" t="s">
        <v>7859</v>
      </c>
      <c r="D1530" s="7" t="s">
        <v>1341</v>
      </c>
      <c r="E1530" s="7" t="s">
        <v>1341</v>
      </c>
      <c r="F1530" s="7" t="s">
        <v>7860</v>
      </c>
      <c r="G1530" s="7" t="s">
        <v>7861</v>
      </c>
      <c r="H1530" s="7" t="s">
        <v>7862</v>
      </c>
      <c r="I1530" s="7" t="s">
        <v>7862</v>
      </c>
      <c r="J1530" s="7" t="s">
        <v>739</v>
      </c>
      <c r="K1530" s="7" t="s">
        <v>68</v>
      </c>
      <c r="L1530" s="7" t="s">
        <v>2336</v>
      </c>
      <c r="M1530" s="7">
        <v>1</v>
      </c>
      <c r="N1530" s="7">
        <v>94</v>
      </c>
      <c r="O1530" s="7" t="s">
        <v>42</v>
      </c>
      <c r="P1530" s="7" t="s">
        <v>43</v>
      </c>
      <c r="Q1530" s="7">
        <v>0</v>
      </c>
      <c r="R1530" s="7">
        <v>0</v>
      </c>
      <c r="S1530" s="7">
        <v>0</v>
      </c>
      <c r="T1530" s="7">
        <v>0</v>
      </c>
      <c r="U1530" s="7">
        <v>25</v>
      </c>
      <c r="V1530" s="7" t="s">
        <v>7863</v>
      </c>
      <c r="W1530" s="7">
        <v>0</v>
      </c>
      <c r="X1530" s="7">
        <v>25</v>
      </c>
      <c r="Y1530" s="7">
        <v>7</v>
      </c>
      <c r="Z1530" s="7">
        <v>3</v>
      </c>
      <c r="AA1530" s="7">
        <v>1</v>
      </c>
      <c r="AB1530" s="7">
        <v>1</v>
      </c>
      <c r="AC1530" s="7" t="s">
        <v>0</v>
      </c>
      <c r="AD1530" s="7">
        <v>1</v>
      </c>
      <c r="AE1530" s="7" t="s">
        <v>532</v>
      </c>
    </row>
    <row r="1531" spans="1:31" ht="63.75" x14ac:dyDescent="0.2">
      <c r="A1531" s="8" t="str">
        <f>HYPERLINK("http://www.patentics.cn/invokexml.do?sx=showpatent_cn&amp;sf=ShowPatent&amp;spn=CN101543131B&amp;sx=showpatent_cn&amp;sv=cfaa5acd13dab14a475f92b98f08a319","CN101543131B")</f>
        <v>CN101543131B</v>
      </c>
      <c r="B1531" s="9" t="s">
        <v>7864</v>
      </c>
      <c r="C1531" s="9" t="s">
        <v>7865</v>
      </c>
      <c r="D1531" s="9" t="s">
        <v>301</v>
      </c>
      <c r="E1531" s="9" t="s">
        <v>301</v>
      </c>
      <c r="F1531" s="9" t="s">
        <v>7866</v>
      </c>
      <c r="G1531" s="9" t="s">
        <v>7867</v>
      </c>
      <c r="H1531" s="9" t="s">
        <v>7868</v>
      </c>
      <c r="I1531" s="9" t="s">
        <v>1521</v>
      </c>
      <c r="J1531" s="9" t="s">
        <v>7869</v>
      </c>
      <c r="K1531" s="9" t="s">
        <v>68</v>
      </c>
      <c r="L1531" s="9" t="s">
        <v>4846</v>
      </c>
      <c r="M1531" s="9">
        <v>4</v>
      </c>
      <c r="N1531" s="9">
        <v>5</v>
      </c>
      <c r="O1531" s="9" t="s">
        <v>57</v>
      </c>
      <c r="P1531" s="9" t="s">
        <v>58</v>
      </c>
      <c r="Q1531" s="9">
        <v>3</v>
      </c>
      <c r="R1531" s="9">
        <v>0</v>
      </c>
      <c r="S1531" s="9">
        <v>3</v>
      </c>
      <c r="T1531" s="9">
        <v>3</v>
      </c>
      <c r="U1531" s="9">
        <v>0</v>
      </c>
      <c r="V1531" s="9" t="s">
        <v>114</v>
      </c>
      <c r="W1531" s="9">
        <v>0</v>
      </c>
      <c r="X1531" s="9">
        <v>0</v>
      </c>
      <c r="Y1531" s="9">
        <v>0</v>
      </c>
      <c r="Z1531" s="9">
        <v>0</v>
      </c>
      <c r="AA1531" s="9">
        <v>0</v>
      </c>
      <c r="AB1531" s="9">
        <v>0</v>
      </c>
      <c r="AC1531" s="9">
        <v>14</v>
      </c>
      <c r="AD1531" s="9" t="s">
        <v>0</v>
      </c>
      <c r="AE1531" s="9" t="s">
        <v>60</v>
      </c>
    </row>
    <row r="1532" spans="1:31" ht="38.25" x14ac:dyDescent="0.2">
      <c r="A1532" s="6" t="str">
        <f>HYPERLINK("http://www.patentics.cn/invokexml.do?sx=showpatent_cn&amp;sf=ShowPatent&amp;spn=CN1582050&amp;sx=showpatent_cn&amp;sv=456dc43a87e087a238004178d4716886","CN1582050")</f>
        <v>CN1582050</v>
      </c>
      <c r="B1532" s="7" t="s">
        <v>7870</v>
      </c>
      <c r="C1532" s="7" t="s">
        <v>7871</v>
      </c>
      <c r="D1532" s="7" t="s">
        <v>932</v>
      </c>
      <c r="E1532" s="7" t="s">
        <v>932</v>
      </c>
      <c r="F1532" s="7" t="s">
        <v>7872</v>
      </c>
      <c r="G1532" s="7" t="s">
        <v>7873</v>
      </c>
      <c r="H1532" s="7" t="s">
        <v>7874</v>
      </c>
      <c r="I1532" s="7" t="s">
        <v>7874</v>
      </c>
      <c r="J1532" s="7" t="s">
        <v>7875</v>
      </c>
      <c r="K1532" s="7" t="s">
        <v>96</v>
      </c>
      <c r="L1532" s="7" t="s">
        <v>1102</v>
      </c>
      <c r="M1532" s="7">
        <v>13</v>
      </c>
      <c r="N1532" s="7">
        <v>21</v>
      </c>
      <c r="O1532" s="7" t="s">
        <v>42</v>
      </c>
      <c r="P1532" s="7" t="s">
        <v>43</v>
      </c>
      <c r="Q1532" s="7">
        <v>0</v>
      </c>
      <c r="R1532" s="7">
        <v>0</v>
      </c>
      <c r="S1532" s="7">
        <v>0</v>
      </c>
      <c r="T1532" s="7">
        <v>0</v>
      </c>
      <c r="U1532" s="7">
        <v>9</v>
      </c>
      <c r="V1532" s="7" t="s">
        <v>5966</v>
      </c>
      <c r="W1532" s="7">
        <v>0</v>
      </c>
      <c r="X1532" s="7">
        <v>9</v>
      </c>
      <c r="Y1532" s="7">
        <v>5</v>
      </c>
      <c r="Z1532" s="7">
        <v>3</v>
      </c>
      <c r="AA1532" s="7">
        <v>1</v>
      </c>
      <c r="AB1532" s="7">
        <v>1</v>
      </c>
      <c r="AC1532" s="7" t="s">
        <v>0</v>
      </c>
      <c r="AD1532" s="7">
        <v>1</v>
      </c>
      <c r="AE1532" s="7" t="s">
        <v>532</v>
      </c>
    </row>
    <row r="1533" spans="1:31" ht="63.75" x14ac:dyDescent="0.2">
      <c r="A1533" s="8" t="str">
        <f>HYPERLINK("http://www.patentics.cn/invokexml.do?sx=showpatent_cn&amp;sf=ShowPatent&amp;spn=CN101682631B&amp;sx=showpatent_cn&amp;sv=444578da0639cbb03683c165132689a4","CN101682631B")</f>
        <v>CN101682631B</v>
      </c>
      <c r="B1533" s="9" t="s">
        <v>7876</v>
      </c>
      <c r="C1533" s="9" t="s">
        <v>7877</v>
      </c>
      <c r="D1533" s="9" t="s">
        <v>301</v>
      </c>
      <c r="E1533" s="9" t="s">
        <v>301</v>
      </c>
      <c r="F1533" s="9" t="s">
        <v>7878</v>
      </c>
      <c r="G1533" s="9" t="s">
        <v>4051</v>
      </c>
      <c r="H1533" s="9" t="s">
        <v>7879</v>
      </c>
      <c r="I1533" s="9" t="s">
        <v>3598</v>
      </c>
      <c r="J1533" s="9" t="s">
        <v>2868</v>
      </c>
      <c r="K1533" s="9" t="s">
        <v>68</v>
      </c>
      <c r="L1533" s="9" t="s">
        <v>2336</v>
      </c>
      <c r="M1533" s="9">
        <v>30</v>
      </c>
      <c r="N1533" s="9">
        <v>19</v>
      </c>
      <c r="O1533" s="9" t="s">
        <v>57</v>
      </c>
      <c r="P1533" s="9" t="s">
        <v>58</v>
      </c>
      <c r="Q1533" s="9">
        <v>4</v>
      </c>
      <c r="R1533" s="9">
        <v>0</v>
      </c>
      <c r="S1533" s="9">
        <v>4</v>
      </c>
      <c r="T1533" s="9">
        <v>3</v>
      </c>
      <c r="U1533" s="9">
        <v>0</v>
      </c>
      <c r="V1533" s="9" t="s">
        <v>114</v>
      </c>
      <c r="W1533" s="9">
        <v>0</v>
      </c>
      <c r="X1533" s="9">
        <v>0</v>
      </c>
      <c r="Y1533" s="9">
        <v>0</v>
      </c>
      <c r="Z1533" s="9">
        <v>0</v>
      </c>
      <c r="AA1533" s="9">
        <v>17</v>
      </c>
      <c r="AB1533" s="9">
        <v>11</v>
      </c>
      <c r="AC1533" s="9">
        <v>14</v>
      </c>
      <c r="AD1533" s="9" t="s">
        <v>0</v>
      </c>
      <c r="AE1533" s="9" t="s">
        <v>60</v>
      </c>
    </row>
    <row r="1534" spans="1:31" ht="25.5" x14ac:dyDescent="0.2">
      <c r="A1534" s="6" t="str">
        <f>HYPERLINK("http://www.patentics.cn/invokexml.do?sx=showpatent_cn&amp;sf=ShowPatent&amp;spn=CN1570973&amp;sx=showpatent_cn&amp;sv=65c8f40a4924a05ca278b425db9a5bc1","CN1570973")</f>
        <v>CN1570973</v>
      </c>
      <c r="B1534" s="7" t="s">
        <v>7880</v>
      </c>
      <c r="C1534" s="7" t="s">
        <v>7881</v>
      </c>
      <c r="D1534" s="7" t="s">
        <v>1942</v>
      </c>
      <c r="E1534" s="7" t="s">
        <v>1942</v>
      </c>
      <c r="F1534" s="7" t="s">
        <v>7882</v>
      </c>
      <c r="G1534" s="7" t="s">
        <v>7883</v>
      </c>
      <c r="H1534" s="7" t="s">
        <v>7884</v>
      </c>
      <c r="I1534" s="7" t="s">
        <v>7884</v>
      </c>
      <c r="J1534" s="7" t="s">
        <v>7885</v>
      </c>
      <c r="K1534" s="7" t="s">
        <v>2163</v>
      </c>
      <c r="L1534" s="7" t="s">
        <v>7886</v>
      </c>
      <c r="M1534" s="7">
        <v>8</v>
      </c>
      <c r="N1534" s="7">
        <v>23</v>
      </c>
      <c r="O1534" s="7" t="s">
        <v>42</v>
      </c>
      <c r="P1534" s="7" t="s">
        <v>43</v>
      </c>
      <c r="Q1534" s="7">
        <v>0</v>
      </c>
      <c r="R1534" s="7">
        <v>0</v>
      </c>
      <c r="S1534" s="7">
        <v>0</v>
      </c>
      <c r="T1534" s="7">
        <v>0</v>
      </c>
      <c r="U1534" s="7">
        <v>15</v>
      </c>
      <c r="V1534" s="7" t="s">
        <v>7887</v>
      </c>
      <c r="W1534" s="7">
        <v>2</v>
      </c>
      <c r="X1534" s="7">
        <v>13</v>
      </c>
      <c r="Y1534" s="7">
        <v>7</v>
      </c>
      <c r="Z1534" s="7">
        <v>2</v>
      </c>
      <c r="AA1534" s="7">
        <v>1</v>
      </c>
      <c r="AB1534" s="7">
        <v>1</v>
      </c>
      <c r="AC1534" s="7" t="s">
        <v>0</v>
      </c>
      <c r="AD1534" s="7">
        <v>1</v>
      </c>
      <c r="AE1534" s="7" t="s">
        <v>532</v>
      </c>
    </row>
    <row r="1535" spans="1:31" ht="25.5" x14ac:dyDescent="0.2">
      <c r="A1535" s="8" t="str">
        <f>HYPERLINK("http://www.patentics.cn/invokexml.do?sx=showpatent_cn&amp;sf=ShowPatent&amp;spn=US8472665&amp;sx=showpatent_cn&amp;sv=ef10d87f9b1f80a65c89b833a1609375","US8472665")</f>
        <v>US8472665</v>
      </c>
      <c r="B1535" s="9" t="s">
        <v>7888</v>
      </c>
      <c r="C1535" s="9" t="s">
        <v>7889</v>
      </c>
      <c r="D1535" s="9" t="s">
        <v>48</v>
      </c>
      <c r="E1535" s="9" t="s">
        <v>49</v>
      </c>
      <c r="F1535" s="9" t="s">
        <v>7890</v>
      </c>
      <c r="G1535" s="9" t="s">
        <v>7890</v>
      </c>
      <c r="H1535" s="9" t="s">
        <v>7702</v>
      </c>
      <c r="I1535" s="9" t="s">
        <v>7711</v>
      </c>
      <c r="J1535" s="9" t="s">
        <v>6377</v>
      </c>
      <c r="K1535" s="9" t="s">
        <v>529</v>
      </c>
      <c r="L1535" s="9" t="s">
        <v>3102</v>
      </c>
      <c r="M1535" s="9">
        <v>28</v>
      </c>
      <c r="N1535" s="9">
        <v>8</v>
      </c>
      <c r="O1535" s="9" t="s">
        <v>57</v>
      </c>
      <c r="P1535" s="9" t="s">
        <v>58</v>
      </c>
      <c r="Q1535" s="9">
        <v>43</v>
      </c>
      <c r="R1535" s="9">
        <v>8</v>
      </c>
      <c r="S1535" s="9">
        <v>35</v>
      </c>
      <c r="T1535" s="9">
        <v>25</v>
      </c>
      <c r="U1535" s="9">
        <v>8</v>
      </c>
      <c r="V1535" s="9" t="s">
        <v>7891</v>
      </c>
      <c r="W1535" s="9">
        <v>2</v>
      </c>
      <c r="X1535" s="9">
        <v>6</v>
      </c>
      <c r="Y1535" s="9">
        <v>5</v>
      </c>
      <c r="Z1535" s="9">
        <v>1</v>
      </c>
      <c r="AA1535" s="9">
        <v>7</v>
      </c>
      <c r="AB1535" s="9">
        <v>5</v>
      </c>
      <c r="AC1535" s="9">
        <v>14</v>
      </c>
      <c r="AD1535" s="9" t="s">
        <v>0</v>
      </c>
      <c r="AE1535" s="9" t="s">
        <v>60</v>
      </c>
    </row>
    <row r="1536" spans="1:31" ht="38.25" x14ac:dyDescent="0.2">
      <c r="A1536" s="6" t="str">
        <f>HYPERLINK("http://www.patentics.cn/invokexml.do?sx=showpatent_cn&amp;sf=ShowPatent&amp;spn=CN1566956&amp;sx=showpatent_cn&amp;sv=08033014fbdebbfc45e6e1ffa4997dcc","CN1566956")</f>
        <v>CN1566956</v>
      </c>
      <c r="B1536" s="7" t="s">
        <v>7892</v>
      </c>
      <c r="C1536" s="7" t="s">
        <v>7893</v>
      </c>
      <c r="D1536" s="7" t="s">
        <v>5384</v>
      </c>
      <c r="E1536" s="7" t="s">
        <v>5384</v>
      </c>
      <c r="F1536" s="7" t="s">
        <v>7894</v>
      </c>
      <c r="G1536" s="7" t="s">
        <v>7895</v>
      </c>
      <c r="H1536" s="7" t="s">
        <v>4764</v>
      </c>
      <c r="I1536" s="7" t="s">
        <v>4764</v>
      </c>
      <c r="J1536" s="7" t="s">
        <v>1252</v>
      </c>
      <c r="K1536" s="7" t="s">
        <v>7896</v>
      </c>
      <c r="L1536" s="7" t="s">
        <v>7897</v>
      </c>
      <c r="M1536" s="7">
        <v>2</v>
      </c>
      <c r="N1536" s="7">
        <v>38</v>
      </c>
      <c r="O1536" s="7" t="s">
        <v>42</v>
      </c>
      <c r="P1536" s="7" t="s">
        <v>43</v>
      </c>
      <c r="Q1536" s="7">
        <v>0</v>
      </c>
      <c r="R1536" s="7">
        <v>0</v>
      </c>
      <c r="S1536" s="7">
        <v>0</v>
      </c>
      <c r="T1536" s="7">
        <v>0</v>
      </c>
      <c r="U1536" s="7">
        <v>3</v>
      </c>
      <c r="V1536" s="7" t="s">
        <v>6946</v>
      </c>
      <c r="W1536" s="7">
        <v>0</v>
      </c>
      <c r="X1536" s="7">
        <v>3</v>
      </c>
      <c r="Y1536" s="7">
        <v>3</v>
      </c>
      <c r="Z1536" s="7">
        <v>1</v>
      </c>
      <c r="AA1536" s="7">
        <v>1</v>
      </c>
      <c r="AB1536" s="7">
        <v>1</v>
      </c>
      <c r="AC1536" s="7" t="s">
        <v>0</v>
      </c>
      <c r="AD1536" s="7">
        <v>1</v>
      </c>
      <c r="AE1536" s="7" t="s">
        <v>532</v>
      </c>
    </row>
    <row r="1537" spans="1:31" ht="25.5" x14ac:dyDescent="0.2">
      <c r="A1537" s="8" t="str">
        <f>HYPERLINK("http://www.patentics.cn/invokexml.do?sx=showpatent_cn&amp;sf=ShowPatent&amp;spn=CN101321366B&amp;sx=showpatent_cn&amp;sv=7bec18b959bc3f1495f445f5c09005aa","CN101321366B")</f>
        <v>CN101321366B</v>
      </c>
      <c r="B1537" s="9" t="s">
        <v>7898</v>
      </c>
      <c r="C1537" s="9" t="s">
        <v>7899</v>
      </c>
      <c r="D1537" s="9" t="s">
        <v>301</v>
      </c>
      <c r="E1537" s="9" t="s">
        <v>301</v>
      </c>
      <c r="F1537" s="9" t="s">
        <v>7900</v>
      </c>
      <c r="G1537" s="9" t="s">
        <v>7901</v>
      </c>
      <c r="H1537" s="9" t="s">
        <v>7902</v>
      </c>
      <c r="I1537" s="9" t="s">
        <v>7903</v>
      </c>
      <c r="J1537" s="9" t="s">
        <v>2178</v>
      </c>
      <c r="K1537" s="9" t="s">
        <v>55</v>
      </c>
      <c r="L1537" s="9" t="s">
        <v>7904</v>
      </c>
      <c r="M1537" s="9">
        <v>32</v>
      </c>
      <c r="N1537" s="9">
        <v>15</v>
      </c>
      <c r="O1537" s="9" t="s">
        <v>57</v>
      </c>
      <c r="P1537" s="9" t="s">
        <v>7905</v>
      </c>
      <c r="Q1537" s="9">
        <v>1</v>
      </c>
      <c r="R1537" s="9">
        <v>0</v>
      </c>
      <c r="S1537" s="9">
        <v>1</v>
      </c>
      <c r="T1537" s="9">
        <v>1</v>
      </c>
      <c r="U1537" s="9">
        <v>0</v>
      </c>
      <c r="V1537" s="9" t="s">
        <v>114</v>
      </c>
      <c r="W1537" s="9">
        <v>0</v>
      </c>
      <c r="X1537" s="9">
        <v>0</v>
      </c>
      <c r="Y1537" s="9">
        <v>0</v>
      </c>
      <c r="Z1537" s="9">
        <v>0</v>
      </c>
      <c r="AA1537" s="9">
        <v>26</v>
      </c>
      <c r="AB1537" s="9">
        <v>10</v>
      </c>
      <c r="AC1537" s="9">
        <v>14</v>
      </c>
      <c r="AD1537" s="9" t="s">
        <v>0</v>
      </c>
      <c r="AE1537" s="9" t="s">
        <v>60</v>
      </c>
    </row>
    <row r="1538" spans="1:31" ht="63.75" x14ac:dyDescent="0.2">
      <c r="A1538" s="6" t="str">
        <f>HYPERLINK("http://www.patentics.cn/invokexml.do?sx=showpatent_cn&amp;sf=ShowPatent&amp;spn=CN1564626&amp;sx=showpatent_cn&amp;sv=f98d668eef03121920d7bf1685040314","CN1564626")</f>
        <v>CN1564626</v>
      </c>
      <c r="B1538" s="7" t="s">
        <v>7906</v>
      </c>
      <c r="C1538" s="7" t="s">
        <v>7907</v>
      </c>
      <c r="D1538" s="7" t="s">
        <v>1420</v>
      </c>
      <c r="E1538" s="7" t="s">
        <v>1420</v>
      </c>
      <c r="F1538" s="7" t="s">
        <v>7908</v>
      </c>
      <c r="G1538" s="7" t="s">
        <v>7909</v>
      </c>
      <c r="H1538" s="7" t="s">
        <v>7910</v>
      </c>
      <c r="I1538" s="7" t="s">
        <v>7910</v>
      </c>
      <c r="J1538" s="7" t="s">
        <v>3009</v>
      </c>
      <c r="K1538" s="7" t="s">
        <v>96</v>
      </c>
      <c r="L1538" s="7" t="s">
        <v>1102</v>
      </c>
      <c r="M1538" s="7">
        <v>6</v>
      </c>
      <c r="N1538" s="7">
        <v>60</v>
      </c>
      <c r="O1538" s="7" t="s">
        <v>42</v>
      </c>
      <c r="P1538" s="7" t="s">
        <v>43</v>
      </c>
      <c r="Q1538" s="7">
        <v>0</v>
      </c>
      <c r="R1538" s="7">
        <v>0</v>
      </c>
      <c r="S1538" s="7">
        <v>0</v>
      </c>
      <c r="T1538" s="7">
        <v>0</v>
      </c>
      <c r="U1538" s="7">
        <v>36</v>
      </c>
      <c r="V1538" s="7" t="s">
        <v>7911</v>
      </c>
      <c r="W1538" s="7">
        <v>2</v>
      </c>
      <c r="X1538" s="7">
        <v>34</v>
      </c>
      <c r="Y1538" s="7">
        <v>16</v>
      </c>
      <c r="Z1538" s="7">
        <v>3</v>
      </c>
      <c r="AA1538" s="7">
        <v>1</v>
      </c>
      <c r="AB1538" s="7">
        <v>1</v>
      </c>
      <c r="AC1538" s="7" t="s">
        <v>0</v>
      </c>
      <c r="AD1538" s="7">
        <v>1</v>
      </c>
      <c r="AE1538" s="7" t="s">
        <v>532</v>
      </c>
    </row>
    <row r="1539" spans="1:31" ht="114.75" x14ac:dyDescent="0.2">
      <c r="A1539" s="8" t="str">
        <f>HYPERLINK("http://www.patentics.cn/invokexml.do?sx=showpatent_cn&amp;sf=ShowPatent&amp;spn=US8948395&amp;sx=showpatent_cn&amp;sv=d169c163a5ea9a3b626b0d1a96232cdd","US8948395")</f>
        <v>US8948395</v>
      </c>
      <c r="B1539" s="9" t="s">
        <v>2992</v>
      </c>
      <c r="C1539" s="9" t="s">
        <v>2993</v>
      </c>
      <c r="D1539" s="9" t="s">
        <v>48</v>
      </c>
      <c r="E1539" s="9" t="s">
        <v>49</v>
      </c>
      <c r="F1539" s="9" t="s">
        <v>2994</v>
      </c>
      <c r="G1539" s="9" t="s">
        <v>2995</v>
      </c>
      <c r="H1539" s="9" t="s">
        <v>325</v>
      </c>
      <c r="I1539" s="9" t="s">
        <v>2996</v>
      </c>
      <c r="J1539" s="9" t="s">
        <v>2355</v>
      </c>
      <c r="K1539" s="9" t="s">
        <v>68</v>
      </c>
      <c r="L1539" s="9" t="s">
        <v>2336</v>
      </c>
      <c r="M1539" s="9">
        <v>26</v>
      </c>
      <c r="N1539" s="9">
        <v>10</v>
      </c>
      <c r="O1539" s="9" t="s">
        <v>57</v>
      </c>
      <c r="P1539" s="9" t="s">
        <v>58</v>
      </c>
      <c r="Q1539" s="9">
        <v>13</v>
      </c>
      <c r="R1539" s="9">
        <v>0</v>
      </c>
      <c r="S1539" s="9">
        <v>13</v>
      </c>
      <c r="T1539" s="9">
        <v>9</v>
      </c>
      <c r="U1539" s="9">
        <v>1</v>
      </c>
      <c r="V1539" s="9" t="s">
        <v>70</v>
      </c>
      <c r="W1539" s="9">
        <v>0</v>
      </c>
      <c r="X1539" s="9">
        <v>1</v>
      </c>
      <c r="Y1539" s="9">
        <v>1</v>
      </c>
      <c r="Z1539" s="9">
        <v>1</v>
      </c>
      <c r="AA1539" s="9">
        <v>17</v>
      </c>
      <c r="AB1539" s="9">
        <v>10</v>
      </c>
      <c r="AC1539" s="9">
        <v>14</v>
      </c>
      <c r="AD1539" s="9" t="s">
        <v>0</v>
      </c>
      <c r="AE1539" s="9" t="s">
        <v>60</v>
      </c>
    </row>
    <row r="1540" spans="1:31" ht="38.25" x14ac:dyDescent="0.2">
      <c r="A1540" s="6" t="str">
        <f>HYPERLINK("http://www.patentics.cn/invokexml.do?sx=showpatent_cn&amp;sf=ShowPatent&amp;spn=CN1564494&amp;sx=showpatent_cn&amp;sv=f27220e6ebba48522f0bc4b97a086cb2","CN1564494")</f>
        <v>CN1564494</v>
      </c>
      <c r="B1540" s="7" t="s">
        <v>7912</v>
      </c>
      <c r="C1540" s="7" t="s">
        <v>7913</v>
      </c>
      <c r="D1540" s="7" t="s">
        <v>1341</v>
      </c>
      <c r="E1540" s="7" t="s">
        <v>1341</v>
      </c>
      <c r="F1540" s="7" t="s">
        <v>7914</v>
      </c>
      <c r="G1540" s="7" t="s">
        <v>7915</v>
      </c>
      <c r="H1540" s="7" t="s">
        <v>7671</v>
      </c>
      <c r="I1540" s="7" t="s">
        <v>7671</v>
      </c>
      <c r="J1540" s="7" t="s">
        <v>3009</v>
      </c>
      <c r="K1540" s="7" t="s">
        <v>40</v>
      </c>
      <c r="L1540" s="7" t="s">
        <v>41</v>
      </c>
      <c r="M1540" s="7">
        <v>7</v>
      </c>
      <c r="N1540" s="7">
        <v>29</v>
      </c>
      <c r="O1540" s="7" t="s">
        <v>42</v>
      </c>
      <c r="P1540" s="7" t="s">
        <v>43</v>
      </c>
      <c r="Q1540" s="7">
        <v>0</v>
      </c>
      <c r="R1540" s="7">
        <v>0</v>
      </c>
      <c r="S1540" s="7">
        <v>0</v>
      </c>
      <c r="T1540" s="7">
        <v>0</v>
      </c>
      <c r="U1540" s="7">
        <v>4</v>
      </c>
      <c r="V1540" s="7" t="s">
        <v>7916</v>
      </c>
      <c r="W1540" s="7">
        <v>0</v>
      </c>
      <c r="X1540" s="7">
        <v>4</v>
      </c>
      <c r="Y1540" s="7">
        <v>3</v>
      </c>
      <c r="Z1540" s="7">
        <v>2</v>
      </c>
      <c r="AA1540" s="7">
        <v>1</v>
      </c>
      <c r="AB1540" s="7">
        <v>1</v>
      </c>
      <c r="AC1540" s="7" t="s">
        <v>0</v>
      </c>
      <c r="AD1540" s="7">
        <v>1</v>
      </c>
      <c r="AE1540" s="7" t="s">
        <v>60</v>
      </c>
    </row>
    <row r="1541" spans="1:31" ht="89.25" x14ac:dyDescent="0.2">
      <c r="A1541" s="8" t="str">
        <f>HYPERLINK("http://www.patentics.cn/invokexml.do?sx=showpatent_cn&amp;sf=ShowPatent&amp;spn=CN101199152B&amp;sx=showpatent_cn&amp;sv=192874881c8ec849f71e2c6d368d32bb","CN101199152B")</f>
        <v>CN101199152B</v>
      </c>
      <c r="B1541" s="9" t="s">
        <v>7917</v>
      </c>
      <c r="C1541" s="9" t="s">
        <v>7918</v>
      </c>
      <c r="D1541" s="9" t="s">
        <v>301</v>
      </c>
      <c r="E1541" s="9" t="s">
        <v>301</v>
      </c>
      <c r="F1541" s="9" t="s">
        <v>7919</v>
      </c>
      <c r="G1541" s="9" t="s">
        <v>7920</v>
      </c>
      <c r="H1541" s="9" t="s">
        <v>53</v>
      </c>
      <c r="I1541" s="9" t="s">
        <v>7921</v>
      </c>
      <c r="J1541" s="9" t="s">
        <v>1751</v>
      </c>
      <c r="K1541" s="9" t="s">
        <v>40</v>
      </c>
      <c r="L1541" s="9" t="s">
        <v>41</v>
      </c>
      <c r="M1541" s="9">
        <v>47</v>
      </c>
      <c r="N1541" s="9">
        <v>19</v>
      </c>
      <c r="O1541" s="9" t="s">
        <v>57</v>
      </c>
      <c r="P1541" s="9" t="s">
        <v>58</v>
      </c>
      <c r="Q1541" s="9">
        <v>3</v>
      </c>
      <c r="R1541" s="9">
        <v>1</v>
      </c>
      <c r="S1541" s="9">
        <v>2</v>
      </c>
      <c r="T1541" s="9">
        <v>3</v>
      </c>
      <c r="U1541" s="9">
        <v>0</v>
      </c>
      <c r="V1541" s="9" t="s">
        <v>114</v>
      </c>
      <c r="W1541" s="9">
        <v>0</v>
      </c>
      <c r="X1541" s="9">
        <v>0</v>
      </c>
      <c r="Y1541" s="9">
        <v>0</v>
      </c>
      <c r="Z1541" s="9">
        <v>0</v>
      </c>
      <c r="AA1541" s="9">
        <v>15</v>
      </c>
      <c r="AB1541" s="9">
        <v>8</v>
      </c>
      <c r="AC1541" s="9">
        <v>14</v>
      </c>
      <c r="AD1541" s="9" t="s">
        <v>0</v>
      </c>
      <c r="AE1541" s="9" t="s">
        <v>532</v>
      </c>
    </row>
    <row r="1542" spans="1:31" ht="25.5" x14ac:dyDescent="0.2">
      <c r="A1542" s="6" t="str">
        <f>HYPERLINK("http://www.patentics.cn/invokexml.do?sx=showpatent_cn&amp;sf=ShowPatent&amp;spn=CN1564098&amp;sx=showpatent_cn&amp;sv=189ed5c3f967292bac638f2fcae923da","CN1564098")</f>
        <v>CN1564098</v>
      </c>
      <c r="B1542" s="7" t="s">
        <v>7922</v>
      </c>
      <c r="C1542" s="7" t="s">
        <v>7923</v>
      </c>
      <c r="D1542" s="7" t="s">
        <v>1054</v>
      </c>
      <c r="E1542" s="7" t="s">
        <v>1054</v>
      </c>
      <c r="F1542" s="7" t="s">
        <v>7924</v>
      </c>
      <c r="G1542" s="7" t="s">
        <v>7925</v>
      </c>
      <c r="H1542" s="7" t="s">
        <v>7926</v>
      </c>
      <c r="I1542" s="7" t="s">
        <v>7926</v>
      </c>
      <c r="J1542" s="7" t="s">
        <v>3009</v>
      </c>
      <c r="K1542" s="7" t="s">
        <v>885</v>
      </c>
      <c r="L1542" s="7" t="s">
        <v>1022</v>
      </c>
      <c r="M1542" s="7">
        <v>6</v>
      </c>
      <c r="N1542" s="7">
        <v>24</v>
      </c>
      <c r="O1542" s="7" t="s">
        <v>42</v>
      </c>
      <c r="P1542" s="7" t="s">
        <v>43</v>
      </c>
      <c r="Q1542" s="7">
        <v>0</v>
      </c>
      <c r="R1542" s="7">
        <v>0</v>
      </c>
      <c r="S1542" s="7">
        <v>0</v>
      </c>
      <c r="T1542" s="7">
        <v>0</v>
      </c>
      <c r="U1542" s="7">
        <v>5</v>
      </c>
      <c r="V1542" s="7" t="s">
        <v>7927</v>
      </c>
      <c r="W1542" s="7">
        <v>0</v>
      </c>
      <c r="X1542" s="7">
        <v>5</v>
      </c>
      <c r="Y1542" s="7">
        <v>4</v>
      </c>
      <c r="Z1542" s="7">
        <v>1</v>
      </c>
      <c r="AA1542" s="7">
        <v>1</v>
      </c>
      <c r="AB1542" s="7">
        <v>1</v>
      </c>
      <c r="AC1542" s="7" t="s">
        <v>0</v>
      </c>
      <c r="AD1542" s="7">
        <v>1</v>
      </c>
      <c r="AE1542" s="7" t="s">
        <v>532</v>
      </c>
    </row>
    <row r="1543" spans="1:31" ht="127.5" x14ac:dyDescent="0.2">
      <c r="A1543" s="8" t="str">
        <f>HYPERLINK("http://www.patentics.cn/invokexml.do?sx=showpatent_cn&amp;sf=ShowPatent&amp;spn=CN102707933B&amp;sx=showpatent_cn&amp;sv=11f0081160cbcc28643ce521fdd3e791","CN102707933B")</f>
        <v>CN102707933B</v>
      </c>
      <c r="B1543" s="9" t="s">
        <v>7928</v>
      </c>
      <c r="C1543" s="9" t="s">
        <v>7929</v>
      </c>
      <c r="D1543" s="9" t="s">
        <v>301</v>
      </c>
      <c r="E1543" s="9" t="s">
        <v>301</v>
      </c>
      <c r="F1543" s="9" t="s">
        <v>7930</v>
      </c>
      <c r="G1543" s="9" t="s">
        <v>4741</v>
      </c>
      <c r="H1543" s="9" t="s">
        <v>7931</v>
      </c>
      <c r="I1543" s="9" t="s">
        <v>7932</v>
      </c>
      <c r="J1543" s="9" t="s">
        <v>4052</v>
      </c>
      <c r="K1543" s="9" t="s">
        <v>885</v>
      </c>
      <c r="L1543" s="9" t="s">
        <v>7933</v>
      </c>
      <c r="M1543" s="9">
        <v>24</v>
      </c>
      <c r="N1543" s="9">
        <v>12</v>
      </c>
      <c r="O1543" s="9" t="s">
        <v>57</v>
      </c>
      <c r="P1543" s="9" t="s">
        <v>58</v>
      </c>
      <c r="Q1543" s="9">
        <v>4</v>
      </c>
      <c r="R1543" s="9">
        <v>0</v>
      </c>
      <c r="S1543" s="9">
        <v>4</v>
      </c>
      <c r="T1543" s="9">
        <v>4</v>
      </c>
      <c r="U1543" s="9">
        <v>0</v>
      </c>
      <c r="V1543" s="9" t="s">
        <v>114</v>
      </c>
      <c r="W1543" s="9">
        <v>0</v>
      </c>
      <c r="X1543" s="9">
        <v>0</v>
      </c>
      <c r="Y1543" s="9">
        <v>0</v>
      </c>
      <c r="Z1543" s="9">
        <v>0</v>
      </c>
      <c r="AA1543" s="9">
        <v>0</v>
      </c>
      <c r="AB1543" s="9">
        <v>0</v>
      </c>
      <c r="AC1543" s="9">
        <v>14</v>
      </c>
      <c r="AD1543" s="9" t="s">
        <v>0</v>
      </c>
      <c r="AE1543" s="9" t="s">
        <v>60</v>
      </c>
    </row>
    <row r="1544" spans="1:31" ht="51" x14ac:dyDescent="0.2">
      <c r="A1544" s="6" t="str">
        <f>HYPERLINK("http://www.patentics.cn/invokexml.do?sx=showpatent_cn&amp;sf=ShowPatent&amp;spn=CN1561013&amp;sx=showpatent_cn&amp;sv=d1919708089b53a1203f4a9f50855e04","CN1561013")</f>
        <v>CN1561013</v>
      </c>
      <c r="B1544" s="7" t="s">
        <v>7934</v>
      </c>
      <c r="C1544" s="7" t="s">
        <v>7935</v>
      </c>
      <c r="D1544" s="7" t="s">
        <v>1341</v>
      </c>
      <c r="E1544" s="7" t="s">
        <v>1341</v>
      </c>
      <c r="F1544" s="7" t="s">
        <v>7936</v>
      </c>
      <c r="G1544" s="7" t="s">
        <v>7937</v>
      </c>
      <c r="H1544" s="7" t="s">
        <v>7938</v>
      </c>
      <c r="I1544" s="7" t="s">
        <v>7938</v>
      </c>
      <c r="J1544" s="7" t="s">
        <v>7939</v>
      </c>
      <c r="K1544" s="7" t="s">
        <v>89</v>
      </c>
      <c r="L1544" s="7" t="s">
        <v>340</v>
      </c>
      <c r="M1544" s="7">
        <v>1</v>
      </c>
      <c r="N1544" s="7">
        <v>55</v>
      </c>
      <c r="O1544" s="7" t="s">
        <v>42</v>
      </c>
      <c r="P1544" s="7" t="s">
        <v>43</v>
      </c>
      <c r="Q1544" s="7">
        <v>0</v>
      </c>
      <c r="R1544" s="7">
        <v>0</v>
      </c>
      <c r="S1544" s="7">
        <v>0</v>
      </c>
      <c r="T1544" s="7">
        <v>0</v>
      </c>
      <c r="U1544" s="7">
        <v>10</v>
      </c>
      <c r="V1544" s="7" t="s">
        <v>7940</v>
      </c>
      <c r="W1544" s="7">
        <v>0</v>
      </c>
      <c r="X1544" s="7">
        <v>10</v>
      </c>
      <c r="Y1544" s="7">
        <v>8</v>
      </c>
      <c r="Z1544" s="7">
        <v>3</v>
      </c>
      <c r="AA1544" s="7">
        <v>1</v>
      </c>
      <c r="AB1544" s="7">
        <v>1</v>
      </c>
      <c r="AC1544" s="7" t="s">
        <v>0</v>
      </c>
      <c r="AD1544" s="7">
        <v>1</v>
      </c>
      <c r="AE1544" s="7" t="s">
        <v>532</v>
      </c>
    </row>
    <row r="1545" spans="1:31" ht="63.75" x14ac:dyDescent="0.2">
      <c r="A1545" s="8" t="str">
        <f>HYPERLINK("http://www.patentics.cn/invokexml.do?sx=showpatent_cn&amp;sf=ShowPatent&amp;spn=CN101243629B&amp;sx=showpatent_cn&amp;sv=6e0862a1f60bcb85a3d538e27d5e2329","CN101243629B")</f>
        <v>CN101243629B</v>
      </c>
      <c r="B1545" s="9" t="s">
        <v>7941</v>
      </c>
      <c r="C1545" s="9" t="s">
        <v>7942</v>
      </c>
      <c r="D1545" s="9" t="s">
        <v>301</v>
      </c>
      <c r="E1545" s="9" t="s">
        <v>301</v>
      </c>
      <c r="F1545" s="9" t="s">
        <v>7943</v>
      </c>
      <c r="G1545" s="9" t="s">
        <v>418</v>
      </c>
      <c r="H1545" s="9" t="s">
        <v>101</v>
      </c>
      <c r="I1545" s="9" t="s">
        <v>7944</v>
      </c>
      <c r="J1545" s="9" t="s">
        <v>7945</v>
      </c>
      <c r="K1545" s="9" t="s">
        <v>40</v>
      </c>
      <c r="L1545" s="9" t="s">
        <v>224</v>
      </c>
      <c r="M1545" s="9">
        <v>16</v>
      </c>
      <c r="N1545" s="9">
        <v>25</v>
      </c>
      <c r="O1545" s="9" t="s">
        <v>57</v>
      </c>
      <c r="P1545" s="9" t="s">
        <v>58</v>
      </c>
      <c r="Q1545" s="9">
        <v>1</v>
      </c>
      <c r="R1545" s="9">
        <v>0</v>
      </c>
      <c r="S1545" s="9">
        <v>1</v>
      </c>
      <c r="T1545" s="9">
        <v>1</v>
      </c>
      <c r="U1545" s="9">
        <v>0</v>
      </c>
      <c r="V1545" s="9" t="s">
        <v>114</v>
      </c>
      <c r="W1545" s="9">
        <v>0</v>
      </c>
      <c r="X1545" s="9">
        <v>0</v>
      </c>
      <c r="Y1545" s="9">
        <v>0</v>
      </c>
      <c r="Z1545" s="9">
        <v>0</v>
      </c>
      <c r="AA1545" s="9">
        <v>29</v>
      </c>
      <c r="AB1545" s="9">
        <v>10</v>
      </c>
      <c r="AC1545" s="9">
        <v>14</v>
      </c>
      <c r="AD1545" s="9" t="s">
        <v>0</v>
      </c>
      <c r="AE1545" s="9" t="s">
        <v>60</v>
      </c>
    </row>
    <row r="1546" spans="1:31" ht="127.5" x14ac:dyDescent="0.2">
      <c r="A1546" s="6" t="str">
        <f>HYPERLINK("http://www.patentics.cn/invokexml.do?sx=showpatent_cn&amp;sf=ShowPatent&amp;spn=CN1560733&amp;sx=showpatent_cn&amp;sv=959c13ac0a925c97922d55195076256b","CN1560733")</f>
        <v>CN1560733</v>
      </c>
      <c r="B1546" s="7" t="s">
        <v>7946</v>
      </c>
      <c r="C1546" s="7" t="s">
        <v>7947</v>
      </c>
      <c r="D1546" s="7" t="s">
        <v>2548</v>
      </c>
      <c r="E1546" s="7" t="s">
        <v>2549</v>
      </c>
      <c r="F1546" s="7" t="s">
        <v>7948</v>
      </c>
      <c r="G1546" s="7" t="s">
        <v>7949</v>
      </c>
      <c r="H1546" s="7" t="s">
        <v>7950</v>
      </c>
      <c r="I1546" s="7" t="s">
        <v>7950</v>
      </c>
      <c r="J1546" s="7" t="s">
        <v>7939</v>
      </c>
      <c r="K1546" s="7" t="s">
        <v>885</v>
      </c>
      <c r="L1546" s="7" t="s">
        <v>2250</v>
      </c>
      <c r="M1546" s="7">
        <v>3</v>
      </c>
      <c r="N1546" s="7">
        <v>33</v>
      </c>
      <c r="O1546" s="7" t="s">
        <v>42</v>
      </c>
      <c r="P1546" s="7" t="s">
        <v>43</v>
      </c>
      <c r="Q1546" s="7">
        <v>0</v>
      </c>
      <c r="R1546" s="7">
        <v>0</v>
      </c>
      <c r="S1546" s="7">
        <v>0</v>
      </c>
      <c r="T1546" s="7">
        <v>0</v>
      </c>
      <c r="U1546" s="7">
        <v>4</v>
      </c>
      <c r="V1546" s="7" t="s">
        <v>7334</v>
      </c>
      <c r="W1546" s="7">
        <v>1</v>
      </c>
      <c r="X1546" s="7">
        <v>3</v>
      </c>
      <c r="Y1546" s="7">
        <v>4</v>
      </c>
      <c r="Z1546" s="7">
        <v>1</v>
      </c>
      <c r="AA1546" s="7">
        <v>1</v>
      </c>
      <c r="AB1546" s="7">
        <v>1</v>
      </c>
      <c r="AC1546" s="7" t="s">
        <v>0</v>
      </c>
      <c r="AD1546" s="7">
        <v>1</v>
      </c>
      <c r="AE1546" s="7" t="s">
        <v>532</v>
      </c>
    </row>
    <row r="1547" spans="1:31" ht="140.25" x14ac:dyDescent="0.2">
      <c r="A1547" s="8" t="str">
        <f>HYPERLINK("http://www.patentics.cn/invokexml.do?sx=showpatent_cn&amp;sf=ShowPatent&amp;spn=CN100538629C&amp;sx=showpatent_cn&amp;sv=f4b16d43b59132f8214b4173b64be19c","CN100538629C")</f>
        <v>CN100538629C</v>
      </c>
      <c r="B1547" s="9" t="s">
        <v>7951</v>
      </c>
      <c r="C1547" s="9" t="s">
        <v>7952</v>
      </c>
      <c r="D1547" s="9" t="s">
        <v>301</v>
      </c>
      <c r="E1547" s="9" t="s">
        <v>301</v>
      </c>
      <c r="F1547" s="9" t="s">
        <v>7953</v>
      </c>
      <c r="G1547" s="9" t="s">
        <v>7954</v>
      </c>
      <c r="H1547" s="9" t="s">
        <v>7931</v>
      </c>
      <c r="I1547" s="9" t="s">
        <v>7932</v>
      </c>
      <c r="J1547" s="9" t="s">
        <v>6368</v>
      </c>
      <c r="K1547" s="9" t="s">
        <v>885</v>
      </c>
      <c r="L1547" s="9" t="s">
        <v>2250</v>
      </c>
      <c r="M1547" s="9">
        <v>16</v>
      </c>
      <c r="N1547" s="9">
        <v>8</v>
      </c>
      <c r="O1547" s="9" t="s">
        <v>57</v>
      </c>
      <c r="P1547" s="9" t="s">
        <v>58</v>
      </c>
      <c r="Q1547" s="9">
        <v>4</v>
      </c>
      <c r="R1547" s="9">
        <v>0</v>
      </c>
      <c r="S1547" s="9">
        <v>4</v>
      </c>
      <c r="T1547" s="9">
        <v>3</v>
      </c>
      <c r="U1547" s="9">
        <v>0</v>
      </c>
      <c r="V1547" s="9" t="s">
        <v>114</v>
      </c>
      <c r="W1547" s="9">
        <v>0</v>
      </c>
      <c r="X1547" s="9">
        <v>0</v>
      </c>
      <c r="Y1547" s="9">
        <v>0</v>
      </c>
      <c r="Z1547" s="9">
        <v>0</v>
      </c>
      <c r="AA1547" s="9">
        <v>11</v>
      </c>
      <c r="AB1547" s="9">
        <v>8</v>
      </c>
      <c r="AC1547" s="9">
        <v>14</v>
      </c>
      <c r="AD1547" s="9" t="s">
        <v>0</v>
      </c>
      <c r="AE1547" s="9" t="s">
        <v>60</v>
      </c>
    </row>
    <row r="1548" spans="1:31" ht="51" x14ac:dyDescent="0.2">
      <c r="A1548" s="6" t="str">
        <f>HYPERLINK("http://www.patentics.cn/invokexml.do?sx=showpatent_cn&amp;sf=ShowPatent&amp;spn=CN1549206&amp;sx=showpatent_cn&amp;sv=af986bfd0885c1d325a788dae1003e36","CN1549206")</f>
        <v>CN1549206</v>
      </c>
      <c r="B1548" s="7" t="s">
        <v>7955</v>
      </c>
      <c r="C1548" s="7" t="s">
        <v>7956</v>
      </c>
      <c r="D1548" s="7" t="s">
        <v>2832</v>
      </c>
      <c r="E1548" s="7" t="s">
        <v>2833</v>
      </c>
      <c r="F1548" s="7" t="s">
        <v>7957</v>
      </c>
      <c r="G1548" s="7" t="s">
        <v>7958</v>
      </c>
      <c r="H1548" s="7" t="s">
        <v>4628</v>
      </c>
      <c r="I1548" s="7" t="s">
        <v>7959</v>
      </c>
      <c r="J1548" s="7" t="s">
        <v>7960</v>
      </c>
      <c r="K1548" s="7" t="s">
        <v>2163</v>
      </c>
      <c r="L1548" s="7" t="s">
        <v>7961</v>
      </c>
      <c r="M1548" s="7">
        <v>30</v>
      </c>
      <c r="N1548" s="7">
        <v>10</v>
      </c>
      <c r="O1548" s="7" t="s">
        <v>42</v>
      </c>
      <c r="P1548" s="7" t="s">
        <v>58</v>
      </c>
      <c r="Q1548" s="7">
        <v>0</v>
      </c>
      <c r="R1548" s="7">
        <v>0</v>
      </c>
      <c r="S1548" s="7">
        <v>0</v>
      </c>
      <c r="T1548" s="7">
        <v>0</v>
      </c>
      <c r="U1548" s="7">
        <v>9</v>
      </c>
      <c r="V1548" s="7" t="s">
        <v>7962</v>
      </c>
      <c r="W1548" s="7">
        <v>0</v>
      </c>
      <c r="X1548" s="7">
        <v>9</v>
      </c>
      <c r="Y1548" s="7">
        <v>5</v>
      </c>
      <c r="Z1548" s="7">
        <v>3</v>
      </c>
      <c r="AA1548" s="7">
        <v>12</v>
      </c>
      <c r="AB1548" s="7">
        <v>7</v>
      </c>
      <c r="AC1548" s="7" t="s">
        <v>0</v>
      </c>
      <c r="AD1548" s="7">
        <v>1</v>
      </c>
      <c r="AE1548" s="7" t="s">
        <v>60</v>
      </c>
    </row>
    <row r="1549" spans="1:31" ht="114.75" x14ac:dyDescent="0.2">
      <c r="A1549" s="8" t="str">
        <f>HYPERLINK("http://www.patentics.cn/invokexml.do?sx=showpatent_cn&amp;sf=ShowPatent&amp;spn=CN104285127B&amp;sx=showpatent_cn&amp;sv=b10243959abf1a91160f203c91cf72cd","CN104285127B")</f>
        <v>CN104285127B</v>
      </c>
      <c r="B1549" s="9" t="s">
        <v>7963</v>
      </c>
      <c r="C1549" s="9" t="s">
        <v>7964</v>
      </c>
      <c r="D1549" s="9" t="s">
        <v>301</v>
      </c>
      <c r="E1549" s="9" t="s">
        <v>301</v>
      </c>
      <c r="F1549" s="9" t="s">
        <v>7965</v>
      </c>
      <c r="G1549" s="9" t="s">
        <v>7966</v>
      </c>
      <c r="H1549" s="9" t="s">
        <v>7967</v>
      </c>
      <c r="I1549" s="9" t="s">
        <v>7968</v>
      </c>
      <c r="J1549" s="9" t="s">
        <v>7969</v>
      </c>
      <c r="K1549" s="9" t="s">
        <v>7970</v>
      </c>
      <c r="L1549" s="9" t="s">
        <v>7971</v>
      </c>
      <c r="M1549" s="9">
        <v>14</v>
      </c>
      <c r="N1549" s="9">
        <v>20</v>
      </c>
      <c r="O1549" s="9" t="s">
        <v>57</v>
      </c>
      <c r="P1549" s="9" t="s">
        <v>58</v>
      </c>
      <c r="Q1549" s="9">
        <v>6</v>
      </c>
      <c r="R1549" s="9">
        <v>0</v>
      </c>
      <c r="S1549" s="9">
        <v>6</v>
      </c>
      <c r="T1549" s="9">
        <v>6</v>
      </c>
      <c r="U1549" s="9">
        <v>0</v>
      </c>
      <c r="V1549" s="9" t="s">
        <v>114</v>
      </c>
      <c r="W1549" s="9">
        <v>0</v>
      </c>
      <c r="X1549" s="9">
        <v>0</v>
      </c>
      <c r="Y1549" s="9">
        <v>0</v>
      </c>
      <c r="Z1549" s="9">
        <v>0</v>
      </c>
      <c r="AA1549" s="9">
        <v>0</v>
      </c>
      <c r="AB1549" s="9">
        <v>0</v>
      </c>
      <c r="AC1549" s="9">
        <v>14</v>
      </c>
      <c r="AD1549" s="9" t="s">
        <v>0</v>
      </c>
      <c r="AE1549" s="9" t="s">
        <v>60</v>
      </c>
    </row>
    <row r="1550" spans="1:31" ht="63.75" x14ac:dyDescent="0.2">
      <c r="A1550" s="6" t="str">
        <f>HYPERLINK("http://www.patentics.cn/invokexml.do?sx=showpatent_cn&amp;sf=ShowPatent&amp;spn=CN1535027&amp;sx=showpatent_cn&amp;sv=ceca8bc8e19a3309f4a0d538a5820239","CN1535027")</f>
        <v>CN1535027</v>
      </c>
      <c r="B1550" s="7" t="s">
        <v>7972</v>
      </c>
      <c r="C1550" s="7" t="s">
        <v>7973</v>
      </c>
      <c r="D1550" s="7" t="s">
        <v>2653</v>
      </c>
      <c r="E1550" s="7" t="s">
        <v>2653</v>
      </c>
      <c r="F1550" s="7" t="s">
        <v>7974</v>
      </c>
      <c r="G1550" s="7" t="s">
        <v>7975</v>
      </c>
      <c r="H1550" s="7" t="s">
        <v>4487</v>
      </c>
      <c r="I1550" s="7" t="s">
        <v>4487</v>
      </c>
      <c r="J1550" s="7" t="s">
        <v>7976</v>
      </c>
      <c r="K1550" s="7" t="s">
        <v>714</v>
      </c>
      <c r="L1550" s="7" t="s">
        <v>2278</v>
      </c>
      <c r="M1550" s="7">
        <v>4</v>
      </c>
      <c r="N1550" s="7">
        <v>65</v>
      </c>
      <c r="O1550" s="7" t="s">
        <v>42</v>
      </c>
      <c r="P1550" s="7" t="s">
        <v>43</v>
      </c>
      <c r="Q1550" s="7">
        <v>2</v>
      </c>
      <c r="R1550" s="7">
        <v>0</v>
      </c>
      <c r="S1550" s="7">
        <v>2</v>
      </c>
      <c r="T1550" s="7">
        <v>2</v>
      </c>
      <c r="U1550" s="7">
        <v>53</v>
      </c>
      <c r="V1550" s="7" t="s">
        <v>7977</v>
      </c>
      <c r="W1550" s="7">
        <v>1</v>
      </c>
      <c r="X1550" s="7">
        <v>52</v>
      </c>
      <c r="Y1550" s="7">
        <v>24</v>
      </c>
      <c r="Z1550" s="7">
        <v>3</v>
      </c>
      <c r="AA1550" s="7">
        <v>1</v>
      </c>
      <c r="AB1550" s="7">
        <v>1</v>
      </c>
      <c r="AC1550" s="7" t="s">
        <v>0</v>
      </c>
      <c r="AD1550" s="7">
        <v>1</v>
      </c>
      <c r="AE1550" s="7" t="s">
        <v>532</v>
      </c>
    </row>
    <row r="1551" spans="1:31" ht="25.5" x14ac:dyDescent="0.2">
      <c r="A1551" s="8" t="str">
        <f>HYPERLINK("http://www.patentics.cn/invokexml.do?sx=showpatent_cn&amp;sf=ShowPatent&amp;spn=CN101133648B&amp;sx=showpatent_cn&amp;sv=1f762fbf9551af7135d2af53581ba84d","CN101133648B")</f>
        <v>CN101133648B</v>
      </c>
      <c r="B1551" s="9" t="s">
        <v>4704</v>
      </c>
      <c r="C1551" s="9" t="s">
        <v>4705</v>
      </c>
      <c r="D1551" s="9" t="s">
        <v>301</v>
      </c>
      <c r="E1551" s="9" t="s">
        <v>301</v>
      </c>
      <c r="F1551" s="9" t="s">
        <v>4706</v>
      </c>
      <c r="G1551" s="9" t="s">
        <v>4707</v>
      </c>
      <c r="H1551" s="9" t="s">
        <v>4708</v>
      </c>
      <c r="I1551" s="9" t="s">
        <v>4709</v>
      </c>
      <c r="J1551" s="9" t="s">
        <v>4710</v>
      </c>
      <c r="K1551" s="9" t="s">
        <v>714</v>
      </c>
      <c r="L1551" s="9" t="s">
        <v>4711</v>
      </c>
      <c r="M1551" s="9">
        <v>31</v>
      </c>
      <c r="N1551" s="9">
        <v>15</v>
      </c>
      <c r="O1551" s="9" t="s">
        <v>57</v>
      </c>
      <c r="P1551" s="9" t="s">
        <v>58</v>
      </c>
      <c r="Q1551" s="9">
        <v>5</v>
      </c>
      <c r="R1551" s="9">
        <v>0</v>
      </c>
      <c r="S1551" s="9">
        <v>5</v>
      </c>
      <c r="T1551" s="9">
        <v>5</v>
      </c>
      <c r="U1551" s="9">
        <v>0</v>
      </c>
      <c r="V1551" s="9" t="s">
        <v>114</v>
      </c>
      <c r="W1551" s="9">
        <v>0</v>
      </c>
      <c r="X1551" s="9">
        <v>0</v>
      </c>
      <c r="Y1551" s="9">
        <v>0</v>
      </c>
      <c r="Z1551" s="9">
        <v>0</v>
      </c>
      <c r="AA1551" s="9">
        <v>12</v>
      </c>
      <c r="AB1551" s="9">
        <v>7</v>
      </c>
      <c r="AC1551" s="9">
        <v>14</v>
      </c>
      <c r="AD1551" s="9" t="s">
        <v>0</v>
      </c>
      <c r="AE1551" s="9" t="s">
        <v>60</v>
      </c>
    </row>
    <row r="1552" spans="1:31" ht="25.5" x14ac:dyDescent="0.2">
      <c r="A1552" s="6" t="str">
        <f>HYPERLINK("http://www.patentics.cn/invokexml.do?sx=showpatent_cn&amp;sf=ShowPatent&amp;spn=CN1514558&amp;sx=showpatent_cn&amp;sv=783e7f61bcc33b749d7815cedd31777f","CN1514558")</f>
        <v>CN1514558</v>
      </c>
      <c r="B1552" s="7" t="s">
        <v>7978</v>
      </c>
      <c r="C1552" s="7" t="s">
        <v>7979</v>
      </c>
      <c r="D1552" s="7" t="s">
        <v>1885</v>
      </c>
      <c r="E1552" s="7" t="s">
        <v>1886</v>
      </c>
      <c r="F1552" s="7" t="s">
        <v>7980</v>
      </c>
      <c r="G1552" s="7" t="s">
        <v>7981</v>
      </c>
      <c r="H1552" s="7" t="s">
        <v>4646</v>
      </c>
      <c r="I1552" s="7" t="s">
        <v>4646</v>
      </c>
      <c r="J1552" s="7" t="s">
        <v>319</v>
      </c>
      <c r="K1552" s="7" t="s">
        <v>40</v>
      </c>
      <c r="L1552" s="7" t="s">
        <v>41</v>
      </c>
      <c r="M1552" s="7">
        <v>5</v>
      </c>
      <c r="N1552" s="7">
        <v>38</v>
      </c>
      <c r="O1552" s="7" t="s">
        <v>42</v>
      </c>
      <c r="P1552" s="7" t="s">
        <v>43</v>
      </c>
      <c r="Q1552" s="7">
        <v>0</v>
      </c>
      <c r="R1552" s="7">
        <v>0</v>
      </c>
      <c r="S1552" s="7">
        <v>0</v>
      </c>
      <c r="T1552" s="7">
        <v>0</v>
      </c>
      <c r="U1552" s="7">
        <v>5</v>
      </c>
      <c r="V1552" s="7" t="s">
        <v>7982</v>
      </c>
      <c r="W1552" s="7">
        <v>2</v>
      </c>
      <c r="X1552" s="7">
        <v>3</v>
      </c>
      <c r="Y1552" s="7">
        <v>4</v>
      </c>
      <c r="Z1552" s="7">
        <v>2</v>
      </c>
      <c r="AA1552" s="7">
        <v>1</v>
      </c>
      <c r="AB1552" s="7">
        <v>1</v>
      </c>
      <c r="AC1552" s="7" t="s">
        <v>0</v>
      </c>
      <c r="AD1552" s="7">
        <v>1</v>
      </c>
      <c r="AE1552" s="7" t="s">
        <v>532</v>
      </c>
    </row>
    <row r="1553" spans="1:31" ht="76.5" x14ac:dyDescent="0.2">
      <c r="A1553" s="8" t="str">
        <f>HYPERLINK("http://www.patentics.cn/invokexml.do?sx=showpatent_cn&amp;sf=ShowPatent&amp;spn=CN101044734B&amp;sx=showpatent_cn&amp;sv=37b8d91cee918cd57960b9627e0a993f","CN101044734B")</f>
        <v>CN101044734B</v>
      </c>
      <c r="B1553" s="9" t="s">
        <v>7983</v>
      </c>
      <c r="C1553" s="9" t="s">
        <v>7984</v>
      </c>
      <c r="D1553" s="9" t="s">
        <v>301</v>
      </c>
      <c r="E1553" s="9" t="s">
        <v>301</v>
      </c>
      <c r="F1553" s="9" t="s">
        <v>7985</v>
      </c>
      <c r="G1553" s="9" t="s">
        <v>7986</v>
      </c>
      <c r="H1553" s="9" t="s">
        <v>7987</v>
      </c>
      <c r="I1553" s="9" t="s">
        <v>7988</v>
      </c>
      <c r="J1553" s="9" t="s">
        <v>2919</v>
      </c>
      <c r="K1553" s="9" t="s">
        <v>68</v>
      </c>
      <c r="L1553" s="9" t="s">
        <v>281</v>
      </c>
      <c r="M1553" s="9">
        <v>33</v>
      </c>
      <c r="N1553" s="9">
        <v>18</v>
      </c>
      <c r="O1553" s="9" t="s">
        <v>57</v>
      </c>
      <c r="P1553" s="9" t="s">
        <v>58</v>
      </c>
      <c r="Q1553" s="9">
        <v>1</v>
      </c>
      <c r="R1553" s="9">
        <v>0</v>
      </c>
      <c r="S1553" s="9">
        <v>1</v>
      </c>
      <c r="T1553" s="9">
        <v>1</v>
      </c>
      <c r="U1553" s="9">
        <v>0</v>
      </c>
      <c r="V1553" s="9" t="s">
        <v>114</v>
      </c>
      <c r="W1553" s="9">
        <v>0</v>
      </c>
      <c r="X1553" s="9">
        <v>0</v>
      </c>
      <c r="Y1553" s="9">
        <v>0</v>
      </c>
      <c r="Z1553" s="9">
        <v>0</v>
      </c>
      <c r="AA1553" s="9">
        <v>15</v>
      </c>
      <c r="AB1553" s="9">
        <v>9</v>
      </c>
      <c r="AC1553" s="9">
        <v>14</v>
      </c>
      <c r="AD1553" s="9" t="s">
        <v>0</v>
      </c>
      <c r="AE1553" s="9" t="s">
        <v>60</v>
      </c>
    </row>
    <row r="1554" spans="1:31" ht="25.5" x14ac:dyDescent="0.2">
      <c r="A1554" s="6" t="str">
        <f>HYPERLINK("http://www.patentics.cn/invokexml.do?sx=showpatent_cn&amp;sf=ShowPatent&amp;spn=CN1512715&amp;sx=showpatent_cn&amp;sv=4e3621b581cb3d7fc2436235e746990d","CN1512715")</f>
        <v>CN1512715</v>
      </c>
      <c r="B1554" s="7" t="s">
        <v>7989</v>
      </c>
      <c r="C1554" s="7" t="s">
        <v>7990</v>
      </c>
      <c r="D1554" s="7" t="s">
        <v>1097</v>
      </c>
      <c r="E1554" s="7" t="s">
        <v>1097</v>
      </c>
      <c r="F1554" s="7" t="s">
        <v>7991</v>
      </c>
      <c r="G1554" s="7" t="s">
        <v>7992</v>
      </c>
      <c r="H1554" s="7" t="s">
        <v>4646</v>
      </c>
      <c r="I1554" s="7" t="s">
        <v>4646</v>
      </c>
      <c r="J1554" s="7" t="s">
        <v>4647</v>
      </c>
      <c r="K1554" s="7" t="s">
        <v>68</v>
      </c>
      <c r="L1554" s="7" t="s">
        <v>2448</v>
      </c>
      <c r="M1554" s="7">
        <v>6</v>
      </c>
      <c r="N1554" s="7">
        <v>58</v>
      </c>
      <c r="O1554" s="7" t="s">
        <v>42</v>
      </c>
      <c r="P1554" s="7" t="s">
        <v>43</v>
      </c>
      <c r="Q1554" s="7">
        <v>0</v>
      </c>
      <c r="R1554" s="7">
        <v>0</v>
      </c>
      <c r="S1554" s="7">
        <v>0</v>
      </c>
      <c r="T1554" s="7">
        <v>0</v>
      </c>
      <c r="U1554" s="7">
        <v>10</v>
      </c>
      <c r="V1554" s="7" t="s">
        <v>4168</v>
      </c>
      <c r="W1554" s="7">
        <v>1</v>
      </c>
      <c r="X1554" s="7">
        <v>9</v>
      </c>
      <c r="Y1554" s="7">
        <v>7</v>
      </c>
      <c r="Z1554" s="7">
        <v>1</v>
      </c>
      <c r="AA1554" s="7">
        <v>1</v>
      </c>
      <c r="AB1554" s="7">
        <v>1</v>
      </c>
      <c r="AC1554" s="7" t="s">
        <v>0</v>
      </c>
      <c r="AD1554" s="7">
        <v>1</v>
      </c>
      <c r="AE1554" s="7" t="s">
        <v>532</v>
      </c>
    </row>
    <row r="1555" spans="1:31" ht="63.75" x14ac:dyDescent="0.2">
      <c r="A1555" s="8" t="str">
        <f>HYPERLINK("http://www.patentics.cn/invokexml.do?sx=showpatent_cn&amp;sf=ShowPatent&amp;spn=CN101395864B&amp;sx=showpatent_cn&amp;sv=157db148b2d7d7f68751b373fcace1f7","CN101395864B")</f>
        <v>CN101395864B</v>
      </c>
      <c r="B1555" s="9" t="s">
        <v>7993</v>
      </c>
      <c r="C1555" s="9" t="s">
        <v>7994</v>
      </c>
      <c r="D1555" s="9" t="s">
        <v>301</v>
      </c>
      <c r="E1555" s="9" t="s">
        <v>301</v>
      </c>
      <c r="F1555" s="9" t="s">
        <v>7995</v>
      </c>
      <c r="G1555" s="9" t="s">
        <v>7996</v>
      </c>
      <c r="H1555" s="9" t="s">
        <v>1576</v>
      </c>
      <c r="I1555" s="9" t="s">
        <v>7997</v>
      </c>
      <c r="J1555" s="9" t="s">
        <v>7998</v>
      </c>
      <c r="K1555" s="9" t="s">
        <v>55</v>
      </c>
      <c r="L1555" s="9" t="s">
        <v>3775</v>
      </c>
      <c r="M1555" s="9">
        <v>23</v>
      </c>
      <c r="N1555" s="9">
        <v>13</v>
      </c>
      <c r="O1555" s="9" t="s">
        <v>57</v>
      </c>
      <c r="P1555" s="9" t="s">
        <v>58</v>
      </c>
      <c r="Q1555" s="9">
        <v>2</v>
      </c>
      <c r="R1555" s="9">
        <v>0</v>
      </c>
      <c r="S1555" s="9">
        <v>2</v>
      </c>
      <c r="T1555" s="9">
        <v>2</v>
      </c>
      <c r="U1555" s="9">
        <v>0</v>
      </c>
      <c r="V1555" s="9" t="s">
        <v>114</v>
      </c>
      <c r="W1555" s="9">
        <v>0</v>
      </c>
      <c r="X1555" s="9">
        <v>0</v>
      </c>
      <c r="Y1555" s="9">
        <v>0</v>
      </c>
      <c r="Z1555" s="9">
        <v>0</v>
      </c>
      <c r="AA1555" s="9">
        <v>37</v>
      </c>
      <c r="AB1555" s="9">
        <v>17</v>
      </c>
      <c r="AC1555" s="9">
        <v>14</v>
      </c>
      <c r="AD1555" s="9" t="s">
        <v>0</v>
      </c>
      <c r="AE1555" s="9" t="s">
        <v>60</v>
      </c>
    </row>
    <row r="1556" spans="1:31" ht="38.25" x14ac:dyDescent="0.2">
      <c r="A1556" s="6" t="str">
        <f>HYPERLINK("http://www.patentics.cn/invokexml.do?sx=showpatent_cn&amp;sf=ShowPatent&amp;spn=CN1499741&amp;sx=showpatent_cn&amp;sv=0a198eca6b84346da29576dfb3b133f0","CN1499741")</f>
        <v>CN1499741</v>
      </c>
      <c r="B1556" s="7" t="s">
        <v>7999</v>
      </c>
      <c r="C1556" s="7" t="s">
        <v>8000</v>
      </c>
      <c r="D1556" s="7" t="s">
        <v>1942</v>
      </c>
      <c r="E1556" s="7" t="s">
        <v>1942</v>
      </c>
      <c r="F1556" s="7" t="s">
        <v>8001</v>
      </c>
      <c r="G1556" s="7" t="s">
        <v>8002</v>
      </c>
      <c r="H1556" s="7" t="s">
        <v>0</v>
      </c>
      <c r="I1556" s="7" t="s">
        <v>8003</v>
      </c>
      <c r="J1556" s="7" t="s">
        <v>8004</v>
      </c>
      <c r="K1556" s="7" t="s">
        <v>89</v>
      </c>
      <c r="L1556" s="7" t="s">
        <v>4954</v>
      </c>
      <c r="M1556" s="7">
        <v>3</v>
      </c>
      <c r="N1556" s="7">
        <v>13</v>
      </c>
      <c r="O1556" s="7" t="s">
        <v>42</v>
      </c>
      <c r="P1556" s="7" t="s">
        <v>43</v>
      </c>
      <c r="Q1556" s="7">
        <v>0</v>
      </c>
      <c r="R1556" s="7">
        <v>0</v>
      </c>
      <c r="S1556" s="7">
        <v>0</v>
      </c>
      <c r="T1556" s="7">
        <v>0</v>
      </c>
      <c r="U1556" s="7">
        <v>4</v>
      </c>
      <c r="V1556" s="7" t="s">
        <v>460</v>
      </c>
      <c r="W1556" s="7">
        <v>0</v>
      </c>
      <c r="X1556" s="7">
        <v>4</v>
      </c>
      <c r="Y1556" s="7">
        <v>3</v>
      </c>
      <c r="Z1556" s="7">
        <v>1</v>
      </c>
      <c r="AA1556" s="7">
        <v>0</v>
      </c>
      <c r="AB1556" s="7">
        <v>0</v>
      </c>
      <c r="AC1556" s="7" t="s">
        <v>0</v>
      </c>
      <c r="AD1556" s="7">
        <v>1</v>
      </c>
      <c r="AE1556" s="7" t="s">
        <v>45</v>
      </c>
    </row>
    <row r="1557" spans="1:31" ht="38.25" x14ac:dyDescent="0.2">
      <c r="A1557" s="8" t="str">
        <f>HYPERLINK("http://www.patentics.cn/invokexml.do?sx=showpatent_cn&amp;sf=ShowPatent&amp;spn=CN104380612B&amp;sx=showpatent_cn&amp;sv=bffd5b54ed7e3fac3127a8fc94e9b210","CN104380612B")</f>
        <v>CN104380612B</v>
      </c>
      <c r="B1557" s="9" t="s">
        <v>8005</v>
      </c>
      <c r="C1557" s="9" t="s">
        <v>8006</v>
      </c>
      <c r="D1557" s="9" t="s">
        <v>301</v>
      </c>
      <c r="E1557" s="9" t="s">
        <v>301</v>
      </c>
      <c r="F1557" s="9" t="s">
        <v>8007</v>
      </c>
      <c r="G1557" s="9" t="s">
        <v>8008</v>
      </c>
      <c r="H1557" s="9" t="s">
        <v>429</v>
      </c>
      <c r="I1557" s="9" t="s">
        <v>5815</v>
      </c>
      <c r="J1557" s="9" t="s">
        <v>4024</v>
      </c>
      <c r="K1557" s="9" t="s">
        <v>89</v>
      </c>
      <c r="L1557" s="9" t="s">
        <v>4954</v>
      </c>
      <c r="M1557" s="9">
        <v>20</v>
      </c>
      <c r="N1557" s="9">
        <v>15</v>
      </c>
      <c r="O1557" s="9" t="s">
        <v>57</v>
      </c>
      <c r="P1557" s="9" t="s">
        <v>58</v>
      </c>
      <c r="Q1557" s="9">
        <v>4</v>
      </c>
      <c r="R1557" s="9">
        <v>1</v>
      </c>
      <c r="S1557" s="9">
        <v>3</v>
      </c>
      <c r="T1557" s="9">
        <v>4</v>
      </c>
      <c r="U1557" s="9">
        <v>0</v>
      </c>
      <c r="V1557" s="9" t="s">
        <v>114</v>
      </c>
      <c r="W1557" s="9">
        <v>0</v>
      </c>
      <c r="X1557" s="9">
        <v>0</v>
      </c>
      <c r="Y1557" s="9">
        <v>0</v>
      </c>
      <c r="Z1557" s="9">
        <v>0</v>
      </c>
      <c r="AA1557" s="9">
        <v>0</v>
      </c>
      <c r="AB1557" s="9">
        <v>0</v>
      </c>
      <c r="AC1557" s="9">
        <v>14</v>
      </c>
      <c r="AD1557" s="9" t="s">
        <v>0</v>
      </c>
      <c r="AE1557" s="9" t="s">
        <v>60</v>
      </c>
    </row>
    <row r="1558" spans="1:31" ht="25.5" x14ac:dyDescent="0.2">
      <c r="A1558" s="6" t="str">
        <f>HYPERLINK("http://www.patentics.cn/invokexml.do?sx=showpatent_cn&amp;sf=ShowPatent&amp;spn=CN1490972&amp;sx=showpatent_cn&amp;sv=8c1bba60e8bdc8c346ab6a8139106d4a","CN1490972")</f>
        <v>CN1490972</v>
      </c>
      <c r="B1558" s="7" t="s">
        <v>8009</v>
      </c>
      <c r="C1558" s="7" t="s">
        <v>8010</v>
      </c>
      <c r="D1558" s="7" t="s">
        <v>5122</v>
      </c>
      <c r="E1558" s="7" t="s">
        <v>5122</v>
      </c>
      <c r="F1558" s="7" t="s">
        <v>8011</v>
      </c>
      <c r="G1558" s="7" t="s">
        <v>8012</v>
      </c>
      <c r="H1558" s="7" t="s">
        <v>8013</v>
      </c>
      <c r="I1558" s="7" t="s">
        <v>8013</v>
      </c>
      <c r="J1558" s="7" t="s">
        <v>713</v>
      </c>
      <c r="K1558" s="7" t="s">
        <v>68</v>
      </c>
      <c r="L1558" s="7" t="s">
        <v>8014</v>
      </c>
      <c r="M1558" s="7">
        <v>7</v>
      </c>
      <c r="N1558" s="7">
        <v>46</v>
      </c>
      <c r="O1558" s="7" t="s">
        <v>42</v>
      </c>
      <c r="P1558" s="7" t="s">
        <v>43</v>
      </c>
      <c r="Q1558" s="7">
        <v>3</v>
      </c>
      <c r="R1558" s="7">
        <v>0</v>
      </c>
      <c r="S1558" s="7">
        <v>3</v>
      </c>
      <c r="T1558" s="7">
        <v>3</v>
      </c>
      <c r="U1558" s="7">
        <v>24</v>
      </c>
      <c r="V1558" s="7" t="s">
        <v>8015</v>
      </c>
      <c r="W1558" s="7">
        <v>0</v>
      </c>
      <c r="X1558" s="7">
        <v>24</v>
      </c>
      <c r="Y1558" s="7">
        <v>11</v>
      </c>
      <c r="Z1558" s="7">
        <v>4</v>
      </c>
      <c r="AA1558" s="7">
        <v>1</v>
      </c>
      <c r="AB1558" s="7">
        <v>1</v>
      </c>
      <c r="AC1558" s="7" t="s">
        <v>0</v>
      </c>
      <c r="AD1558" s="7">
        <v>1</v>
      </c>
      <c r="AE1558" s="7" t="s">
        <v>532</v>
      </c>
    </row>
    <row r="1559" spans="1:31" ht="25.5" x14ac:dyDescent="0.2">
      <c r="A1559" s="8" t="str">
        <f>HYPERLINK("http://www.patentics.cn/invokexml.do?sx=showpatent_cn&amp;sf=ShowPatent&amp;spn=CN101322317B&amp;sx=showpatent_cn&amp;sv=04a6dde965d9f20d3b7d86af1d58bb57","CN101322317B")</f>
        <v>CN101322317B</v>
      </c>
      <c r="B1559" s="9" t="s">
        <v>8016</v>
      </c>
      <c r="C1559" s="9" t="s">
        <v>8017</v>
      </c>
      <c r="D1559" s="9" t="s">
        <v>301</v>
      </c>
      <c r="E1559" s="9" t="s">
        <v>301</v>
      </c>
      <c r="F1559" s="9" t="s">
        <v>8018</v>
      </c>
      <c r="G1559" s="9" t="s">
        <v>8018</v>
      </c>
      <c r="H1559" s="9" t="s">
        <v>8019</v>
      </c>
      <c r="I1559" s="9" t="s">
        <v>8020</v>
      </c>
      <c r="J1559" s="9" t="s">
        <v>420</v>
      </c>
      <c r="K1559" s="9" t="s">
        <v>1529</v>
      </c>
      <c r="L1559" s="9" t="s">
        <v>3063</v>
      </c>
      <c r="M1559" s="9">
        <v>47</v>
      </c>
      <c r="N1559" s="9">
        <v>31</v>
      </c>
      <c r="O1559" s="9" t="s">
        <v>57</v>
      </c>
      <c r="P1559" s="9" t="s">
        <v>58</v>
      </c>
      <c r="Q1559" s="9">
        <v>5</v>
      </c>
      <c r="R1559" s="9">
        <v>4</v>
      </c>
      <c r="S1559" s="9">
        <v>1</v>
      </c>
      <c r="T1559" s="9">
        <v>2</v>
      </c>
      <c r="U1559" s="9">
        <v>0</v>
      </c>
      <c r="V1559" s="9" t="s">
        <v>114</v>
      </c>
      <c r="W1559" s="9">
        <v>0</v>
      </c>
      <c r="X1559" s="9">
        <v>0</v>
      </c>
      <c r="Y1559" s="9">
        <v>0</v>
      </c>
      <c r="Z1559" s="9">
        <v>0</v>
      </c>
      <c r="AA1559" s="9">
        <v>29</v>
      </c>
      <c r="AB1559" s="9">
        <v>17</v>
      </c>
      <c r="AC1559" s="9">
        <v>14</v>
      </c>
      <c r="AD1559" s="9" t="s">
        <v>0</v>
      </c>
      <c r="AE1559" s="9" t="s">
        <v>60</v>
      </c>
    </row>
    <row r="1560" spans="1:31" ht="38.25" x14ac:dyDescent="0.2">
      <c r="A1560" s="6" t="str">
        <f>HYPERLINK("http://www.patentics.cn/invokexml.do?sx=showpatent_cn&amp;sf=ShowPatent&amp;spn=CN1490944&amp;sx=showpatent_cn&amp;sv=8a1fea2ccc932578b1566f4d33e7dd3b","CN1490944")</f>
        <v>CN1490944</v>
      </c>
      <c r="B1560" s="7" t="s">
        <v>8021</v>
      </c>
      <c r="C1560" s="7" t="s">
        <v>8022</v>
      </c>
      <c r="D1560" s="7" t="s">
        <v>1383</v>
      </c>
      <c r="E1560" s="7" t="s">
        <v>1383</v>
      </c>
      <c r="F1560" s="7" t="s">
        <v>8023</v>
      </c>
      <c r="G1560" s="7" t="s">
        <v>7331</v>
      </c>
      <c r="H1560" s="7" t="s">
        <v>8024</v>
      </c>
      <c r="I1560" s="7" t="s">
        <v>8024</v>
      </c>
      <c r="J1560" s="7" t="s">
        <v>713</v>
      </c>
      <c r="K1560" s="7" t="s">
        <v>89</v>
      </c>
      <c r="L1560" s="7" t="s">
        <v>5447</v>
      </c>
      <c r="M1560" s="7">
        <v>2</v>
      </c>
      <c r="N1560" s="7">
        <v>8</v>
      </c>
      <c r="O1560" s="7" t="s">
        <v>42</v>
      </c>
      <c r="P1560" s="7" t="s">
        <v>43</v>
      </c>
      <c r="Q1560" s="7">
        <v>0</v>
      </c>
      <c r="R1560" s="7">
        <v>0</v>
      </c>
      <c r="S1560" s="7">
        <v>0</v>
      </c>
      <c r="T1560" s="7">
        <v>0</v>
      </c>
      <c r="U1560" s="7">
        <v>11</v>
      </c>
      <c r="V1560" s="7" t="s">
        <v>8025</v>
      </c>
      <c r="W1560" s="7">
        <v>2</v>
      </c>
      <c r="X1560" s="7">
        <v>9</v>
      </c>
      <c r="Y1560" s="7">
        <v>10</v>
      </c>
      <c r="Z1560" s="7">
        <v>1</v>
      </c>
      <c r="AA1560" s="7">
        <v>1</v>
      </c>
      <c r="AB1560" s="7">
        <v>1</v>
      </c>
      <c r="AC1560" s="7" t="s">
        <v>0</v>
      </c>
      <c r="AD1560" s="7">
        <v>1</v>
      </c>
      <c r="AE1560" s="7" t="s">
        <v>532</v>
      </c>
    </row>
    <row r="1561" spans="1:31" ht="63.75" x14ac:dyDescent="0.2">
      <c r="A1561" s="8" t="str">
        <f>HYPERLINK("http://www.patentics.cn/invokexml.do?sx=showpatent_cn&amp;sf=ShowPatent&amp;spn=CN101641899B&amp;sx=showpatent_cn&amp;sv=ad1fbe0cd5848ae2a3d12d466dac2106","CN101641899B")</f>
        <v>CN101641899B</v>
      </c>
      <c r="B1561" s="9" t="s">
        <v>8026</v>
      </c>
      <c r="C1561" s="9" t="s">
        <v>8027</v>
      </c>
      <c r="D1561" s="9" t="s">
        <v>301</v>
      </c>
      <c r="E1561" s="9" t="s">
        <v>301</v>
      </c>
      <c r="F1561" s="9" t="s">
        <v>8028</v>
      </c>
      <c r="G1561" s="9" t="s">
        <v>8029</v>
      </c>
      <c r="H1561" s="9" t="s">
        <v>4315</v>
      </c>
      <c r="I1561" s="9" t="s">
        <v>8030</v>
      </c>
      <c r="J1561" s="9" t="s">
        <v>2354</v>
      </c>
      <c r="K1561" s="9" t="s">
        <v>68</v>
      </c>
      <c r="L1561" s="9" t="s">
        <v>306</v>
      </c>
      <c r="M1561" s="9">
        <v>17</v>
      </c>
      <c r="N1561" s="9">
        <v>16</v>
      </c>
      <c r="O1561" s="9" t="s">
        <v>57</v>
      </c>
      <c r="P1561" s="9" t="s">
        <v>58</v>
      </c>
      <c r="Q1561" s="9">
        <v>3</v>
      </c>
      <c r="R1561" s="9">
        <v>0</v>
      </c>
      <c r="S1561" s="9">
        <v>3</v>
      </c>
      <c r="T1561" s="9">
        <v>3</v>
      </c>
      <c r="U1561" s="9">
        <v>0</v>
      </c>
      <c r="V1561" s="9" t="s">
        <v>114</v>
      </c>
      <c r="W1561" s="9">
        <v>0</v>
      </c>
      <c r="X1561" s="9">
        <v>0</v>
      </c>
      <c r="Y1561" s="9">
        <v>0</v>
      </c>
      <c r="Z1561" s="9">
        <v>0</v>
      </c>
      <c r="AA1561" s="9">
        <v>12</v>
      </c>
      <c r="AB1561" s="9">
        <v>7</v>
      </c>
      <c r="AC1561" s="9">
        <v>14</v>
      </c>
      <c r="AD1561" s="9" t="s">
        <v>0</v>
      </c>
      <c r="AE1561" s="9" t="s">
        <v>60</v>
      </c>
    </row>
    <row r="1562" spans="1:31" ht="38.25" x14ac:dyDescent="0.2">
      <c r="A1562" s="6" t="str">
        <f>HYPERLINK("http://www.patentics.cn/invokexml.do?sx=showpatent_cn&amp;sf=ShowPatent&amp;spn=CN1489111&amp;sx=showpatent_cn&amp;sv=139ef715b3ff00bca4fd6fe2d73153ba","CN1489111")</f>
        <v>CN1489111</v>
      </c>
      <c r="B1562" s="7" t="s">
        <v>8031</v>
      </c>
      <c r="C1562" s="7" t="s">
        <v>8032</v>
      </c>
      <c r="D1562" s="7" t="s">
        <v>1341</v>
      </c>
      <c r="E1562" s="7" t="s">
        <v>1341</v>
      </c>
      <c r="F1562" s="7" t="s">
        <v>8033</v>
      </c>
      <c r="G1562" s="7" t="s">
        <v>7791</v>
      </c>
      <c r="H1562" s="7" t="s">
        <v>8034</v>
      </c>
      <c r="I1562" s="7" t="s">
        <v>8034</v>
      </c>
      <c r="J1562" s="7" t="s">
        <v>8035</v>
      </c>
      <c r="K1562" s="7" t="s">
        <v>2163</v>
      </c>
      <c r="L1562" s="7" t="s">
        <v>8036</v>
      </c>
      <c r="M1562" s="7">
        <v>1</v>
      </c>
      <c r="N1562" s="7">
        <v>39</v>
      </c>
      <c r="O1562" s="7" t="s">
        <v>42</v>
      </c>
      <c r="P1562" s="7" t="s">
        <v>43</v>
      </c>
      <c r="Q1562" s="7">
        <v>0</v>
      </c>
      <c r="R1562" s="7">
        <v>0</v>
      </c>
      <c r="S1562" s="7">
        <v>0</v>
      </c>
      <c r="T1562" s="7">
        <v>0</v>
      </c>
      <c r="U1562" s="7">
        <v>8</v>
      </c>
      <c r="V1562" s="7" t="s">
        <v>1614</v>
      </c>
      <c r="W1562" s="7">
        <v>0</v>
      </c>
      <c r="X1562" s="7">
        <v>8</v>
      </c>
      <c r="Y1562" s="7">
        <v>5</v>
      </c>
      <c r="Z1562" s="7">
        <v>2</v>
      </c>
      <c r="AA1562" s="7">
        <v>1</v>
      </c>
      <c r="AB1562" s="7">
        <v>1</v>
      </c>
      <c r="AC1562" s="7" t="s">
        <v>0</v>
      </c>
      <c r="AD1562" s="7">
        <v>1</v>
      </c>
      <c r="AE1562" s="7" t="s">
        <v>532</v>
      </c>
    </row>
    <row r="1563" spans="1:31" ht="25.5" x14ac:dyDescent="0.2">
      <c r="A1563" s="8" t="str">
        <f>HYPERLINK("http://www.patentics.cn/invokexml.do?sx=showpatent_cn&amp;sf=ShowPatent&amp;spn=CN1989525B&amp;sx=showpatent_cn&amp;sv=20267600fbb831735c298c87507cca75","CN1989525B")</f>
        <v>CN1989525B</v>
      </c>
      <c r="B1563" s="9" t="s">
        <v>8037</v>
      </c>
      <c r="C1563" s="9" t="s">
        <v>8038</v>
      </c>
      <c r="D1563" s="9" t="s">
        <v>301</v>
      </c>
      <c r="E1563" s="9" t="s">
        <v>301</v>
      </c>
      <c r="F1563" s="9" t="s">
        <v>8039</v>
      </c>
      <c r="G1563" s="9" t="s">
        <v>8039</v>
      </c>
      <c r="H1563" s="9" t="s">
        <v>338</v>
      </c>
      <c r="I1563" s="9" t="s">
        <v>2837</v>
      </c>
      <c r="J1563" s="9" t="s">
        <v>8040</v>
      </c>
      <c r="K1563" s="9" t="s">
        <v>2163</v>
      </c>
      <c r="L1563" s="9" t="s">
        <v>8036</v>
      </c>
      <c r="M1563" s="9">
        <v>24</v>
      </c>
      <c r="N1563" s="9">
        <v>13</v>
      </c>
      <c r="O1563" s="9" t="s">
        <v>57</v>
      </c>
      <c r="P1563" s="9" t="s">
        <v>58</v>
      </c>
      <c r="Q1563" s="9">
        <v>3</v>
      </c>
      <c r="R1563" s="9">
        <v>0</v>
      </c>
      <c r="S1563" s="9">
        <v>3</v>
      </c>
      <c r="T1563" s="9">
        <v>3</v>
      </c>
      <c r="U1563" s="9">
        <v>0</v>
      </c>
      <c r="V1563" s="9" t="s">
        <v>114</v>
      </c>
      <c r="W1563" s="9">
        <v>0</v>
      </c>
      <c r="X1563" s="9">
        <v>0</v>
      </c>
      <c r="Y1563" s="9">
        <v>0</v>
      </c>
      <c r="Z1563" s="9">
        <v>0</v>
      </c>
      <c r="AA1563" s="9">
        <v>5</v>
      </c>
      <c r="AB1563" s="9">
        <v>4</v>
      </c>
      <c r="AC1563" s="9">
        <v>14</v>
      </c>
      <c r="AD1563" s="9" t="s">
        <v>0</v>
      </c>
      <c r="AE1563" s="9" t="s">
        <v>60</v>
      </c>
    </row>
    <row r="1564" spans="1:31" ht="38.25" x14ac:dyDescent="0.2">
      <c r="A1564" s="6" t="str">
        <f>HYPERLINK("http://www.patentics.cn/invokexml.do?sx=showpatent_cn&amp;sf=ShowPatent&amp;spn=CN1482820&amp;sx=showpatent_cn&amp;sv=dd9533a0e1fcd1237c2fc6314f7d489b","CN1482820")</f>
        <v>CN1482820</v>
      </c>
      <c r="B1564" s="7" t="s">
        <v>8041</v>
      </c>
      <c r="C1564" s="7" t="s">
        <v>8042</v>
      </c>
      <c r="D1564" s="7" t="s">
        <v>1420</v>
      </c>
      <c r="E1564" s="7" t="s">
        <v>1420</v>
      </c>
      <c r="F1564" s="7" t="s">
        <v>8043</v>
      </c>
      <c r="G1564" s="7" t="s">
        <v>8044</v>
      </c>
      <c r="H1564" s="7" t="s">
        <v>8045</v>
      </c>
      <c r="I1564" s="7" t="s">
        <v>8045</v>
      </c>
      <c r="J1564" s="7" t="s">
        <v>8046</v>
      </c>
      <c r="K1564" s="7" t="s">
        <v>96</v>
      </c>
      <c r="L1564" s="7" t="s">
        <v>1253</v>
      </c>
      <c r="M1564" s="7">
        <v>7</v>
      </c>
      <c r="N1564" s="7">
        <v>32</v>
      </c>
      <c r="O1564" s="7" t="s">
        <v>42</v>
      </c>
      <c r="P1564" s="7" t="s">
        <v>43</v>
      </c>
      <c r="Q1564" s="7">
        <v>0</v>
      </c>
      <c r="R1564" s="7">
        <v>0</v>
      </c>
      <c r="S1564" s="7">
        <v>0</v>
      </c>
      <c r="T1564" s="7">
        <v>0</v>
      </c>
      <c r="U1564" s="7">
        <v>2</v>
      </c>
      <c r="V1564" s="7" t="s">
        <v>8047</v>
      </c>
      <c r="W1564" s="7">
        <v>0</v>
      </c>
      <c r="X1564" s="7">
        <v>2</v>
      </c>
      <c r="Y1564" s="7">
        <v>2</v>
      </c>
      <c r="Z1564" s="7">
        <v>1</v>
      </c>
      <c r="AA1564" s="7">
        <v>1</v>
      </c>
      <c r="AB1564" s="7">
        <v>1</v>
      </c>
      <c r="AC1564" s="7" t="s">
        <v>0</v>
      </c>
      <c r="AD1564" s="7">
        <v>1</v>
      </c>
      <c r="AE1564" s="7" t="s">
        <v>532</v>
      </c>
    </row>
    <row r="1565" spans="1:31" ht="89.25" x14ac:dyDescent="0.2">
      <c r="A1565" s="8" t="str">
        <f>HYPERLINK("http://www.patentics.cn/invokexml.do?sx=showpatent_cn&amp;sf=ShowPatent&amp;spn=CN101326732B&amp;sx=showpatent_cn&amp;sv=b98f423ff45576cd0246050d56ae8592","CN101326732B")</f>
        <v>CN101326732B</v>
      </c>
      <c r="B1565" s="9" t="s">
        <v>8048</v>
      </c>
      <c r="C1565" s="9" t="s">
        <v>8049</v>
      </c>
      <c r="D1565" s="9" t="s">
        <v>301</v>
      </c>
      <c r="E1565" s="9" t="s">
        <v>301</v>
      </c>
      <c r="F1565" s="9" t="s">
        <v>8050</v>
      </c>
      <c r="G1565" s="9" t="s">
        <v>8051</v>
      </c>
      <c r="H1565" s="9" t="s">
        <v>8052</v>
      </c>
      <c r="I1565" s="9" t="s">
        <v>8053</v>
      </c>
      <c r="J1565" s="9" t="s">
        <v>1222</v>
      </c>
      <c r="K1565" s="9" t="s">
        <v>89</v>
      </c>
      <c r="L1565" s="9" t="s">
        <v>8054</v>
      </c>
      <c r="M1565" s="9">
        <v>27</v>
      </c>
      <c r="N1565" s="9">
        <v>13</v>
      </c>
      <c r="O1565" s="9" t="s">
        <v>57</v>
      </c>
      <c r="P1565" s="9" t="s">
        <v>58</v>
      </c>
      <c r="Q1565" s="9">
        <v>3</v>
      </c>
      <c r="R1565" s="9">
        <v>0</v>
      </c>
      <c r="S1565" s="9">
        <v>3</v>
      </c>
      <c r="T1565" s="9">
        <v>3</v>
      </c>
      <c r="U1565" s="9">
        <v>0</v>
      </c>
      <c r="V1565" s="9" t="s">
        <v>114</v>
      </c>
      <c r="W1565" s="9">
        <v>0</v>
      </c>
      <c r="X1565" s="9">
        <v>0</v>
      </c>
      <c r="Y1565" s="9">
        <v>0</v>
      </c>
      <c r="Z1565" s="9">
        <v>0</v>
      </c>
      <c r="AA1565" s="9">
        <v>13</v>
      </c>
      <c r="AB1565" s="9">
        <v>6</v>
      </c>
      <c r="AC1565" s="9">
        <v>14</v>
      </c>
      <c r="AD1565" s="9" t="s">
        <v>0</v>
      </c>
      <c r="AE1565" s="9" t="s">
        <v>60</v>
      </c>
    </row>
    <row r="1566" spans="1:31" ht="25.5" x14ac:dyDescent="0.2">
      <c r="A1566" s="6" t="str">
        <f>HYPERLINK("http://www.patentics.cn/invokexml.do?sx=showpatent_cn&amp;sf=ShowPatent&amp;spn=CN1482802&amp;sx=showpatent_cn&amp;sv=f99c3722a5b35cf1421ec74cf4dc4fb1","CN1482802")</f>
        <v>CN1482802</v>
      </c>
      <c r="B1566" s="7" t="s">
        <v>8055</v>
      </c>
      <c r="C1566" s="7" t="s">
        <v>8056</v>
      </c>
      <c r="D1566" s="7" t="s">
        <v>2653</v>
      </c>
      <c r="E1566" s="7" t="s">
        <v>2653</v>
      </c>
      <c r="F1566" s="7" t="s">
        <v>8057</v>
      </c>
      <c r="G1566" s="7" t="s">
        <v>8058</v>
      </c>
      <c r="H1566" s="7" t="s">
        <v>658</v>
      </c>
      <c r="I1566" s="7" t="s">
        <v>658</v>
      </c>
      <c r="J1566" s="7" t="s">
        <v>8046</v>
      </c>
      <c r="K1566" s="7" t="s">
        <v>714</v>
      </c>
      <c r="L1566" s="7" t="s">
        <v>8059</v>
      </c>
      <c r="M1566" s="7">
        <v>3</v>
      </c>
      <c r="N1566" s="7">
        <v>58</v>
      </c>
      <c r="O1566" s="7" t="s">
        <v>42</v>
      </c>
      <c r="P1566" s="7" t="s">
        <v>43</v>
      </c>
      <c r="Q1566" s="7">
        <v>0</v>
      </c>
      <c r="R1566" s="7">
        <v>0</v>
      </c>
      <c r="S1566" s="7">
        <v>0</v>
      </c>
      <c r="T1566" s="7">
        <v>0</v>
      </c>
      <c r="U1566" s="7">
        <v>10</v>
      </c>
      <c r="V1566" s="7" t="s">
        <v>8060</v>
      </c>
      <c r="W1566" s="7">
        <v>0</v>
      </c>
      <c r="X1566" s="7">
        <v>10</v>
      </c>
      <c r="Y1566" s="7">
        <v>7</v>
      </c>
      <c r="Z1566" s="7">
        <v>2</v>
      </c>
      <c r="AA1566" s="7">
        <v>1</v>
      </c>
      <c r="AB1566" s="7">
        <v>1</v>
      </c>
      <c r="AC1566" s="7" t="s">
        <v>0</v>
      </c>
      <c r="AD1566" s="7">
        <v>1</v>
      </c>
      <c r="AE1566" s="7" t="s">
        <v>532</v>
      </c>
    </row>
    <row r="1567" spans="1:31" ht="25.5" x14ac:dyDescent="0.2">
      <c r="A1567" s="8" t="str">
        <f>HYPERLINK("http://www.patentics.cn/invokexml.do?sx=showpatent_cn&amp;sf=ShowPatent&amp;spn=CN1848960B&amp;sx=showpatent_cn&amp;sv=f4b9986b93ae5d247b88a01c32511eec","CN1848960B")</f>
        <v>CN1848960B</v>
      </c>
      <c r="B1567" s="9" t="s">
        <v>8061</v>
      </c>
      <c r="C1567" s="9" t="s">
        <v>8062</v>
      </c>
      <c r="D1567" s="9" t="s">
        <v>301</v>
      </c>
      <c r="E1567" s="9" t="s">
        <v>301</v>
      </c>
      <c r="F1567" s="9" t="s">
        <v>8063</v>
      </c>
      <c r="G1567" s="9" t="s">
        <v>8063</v>
      </c>
      <c r="H1567" s="9" t="s">
        <v>312</v>
      </c>
      <c r="I1567" s="9" t="s">
        <v>747</v>
      </c>
      <c r="J1567" s="9" t="s">
        <v>4771</v>
      </c>
      <c r="K1567" s="9" t="s">
        <v>714</v>
      </c>
      <c r="L1567" s="9" t="s">
        <v>1346</v>
      </c>
      <c r="M1567" s="9">
        <v>20</v>
      </c>
      <c r="N1567" s="9">
        <v>9</v>
      </c>
      <c r="O1567" s="9" t="s">
        <v>57</v>
      </c>
      <c r="P1567" s="9" t="s">
        <v>58</v>
      </c>
      <c r="Q1567" s="9">
        <v>5</v>
      </c>
      <c r="R1567" s="9">
        <v>0</v>
      </c>
      <c r="S1567" s="9">
        <v>5</v>
      </c>
      <c r="T1567" s="9">
        <v>5</v>
      </c>
      <c r="U1567" s="9">
        <v>0</v>
      </c>
      <c r="V1567" s="9" t="s">
        <v>114</v>
      </c>
      <c r="W1567" s="9">
        <v>0</v>
      </c>
      <c r="X1567" s="9">
        <v>0</v>
      </c>
      <c r="Y1567" s="9">
        <v>0</v>
      </c>
      <c r="Z1567" s="9">
        <v>0</v>
      </c>
      <c r="AA1567" s="9">
        <v>10</v>
      </c>
      <c r="AB1567" s="9">
        <v>5</v>
      </c>
      <c r="AC1567" s="9">
        <v>14</v>
      </c>
      <c r="AD1567" s="9" t="s">
        <v>0</v>
      </c>
      <c r="AE1567" s="9" t="s">
        <v>60</v>
      </c>
    </row>
    <row r="1568" spans="1:31" ht="38.25" x14ac:dyDescent="0.2">
      <c r="A1568" s="6" t="str">
        <f>HYPERLINK("http://www.patentics.cn/invokexml.do?sx=showpatent_cn&amp;sf=ShowPatent&amp;spn=CN1472671&amp;sx=showpatent_cn&amp;sv=678b151446945f49526514d9edf7dcb7","CN1472671")</f>
        <v>CN1472671</v>
      </c>
      <c r="B1568" s="7" t="s">
        <v>8064</v>
      </c>
      <c r="C1568" s="7" t="s">
        <v>8065</v>
      </c>
      <c r="D1568" s="7" t="s">
        <v>1341</v>
      </c>
      <c r="E1568" s="7" t="s">
        <v>1341</v>
      </c>
      <c r="F1568" s="7" t="s">
        <v>8066</v>
      </c>
      <c r="G1568" s="7" t="s">
        <v>8067</v>
      </c>
      <c r="H1568" s="7" t="s">
        <v>4716</v>
      </c>
      <c r="I1568" s="7" t="s">
        <v>4716</v>
      </c>
      <c r="J1568" s="7" t="s">
        <v>8068</v>
      </c>
      <c r="K1568" s="7" t="s">
        <v>885</v>
      </c>
      <c r="L1568" s="7" t="s">
        <v>4823</v>
      </c>
      <c r="M1568" s="7">
        <v>1</v>
      </c>
      <c r="N1568" s="7">
        <v>29</v>
      </c>
      <c r="O1568" s="7" t="s">
        <v>42</v>
      </c>
      <c r="P1568" s="7" t="s">
        <v>43</v>
      </c>
      <c r="Q1568" s="7">
        <v>0</v>
      </c>
      <c r="R1568" s="7">
        <v>0</v>
      </c>
      <c r="S1568" s="7">
        <v>0</v>
      </c>
      <c r="T1568" s="7">
        <v>0</v>
      </c>
      <c r="U1568" s="7">
        <v>6</v>
      </c>
      <c r="V1568" s="7" t="s">
        <v>8069</v>
      </c>
      <c r="W1568" s="7">
        <v>3</v>
      </c>
      <c r="X1568" s="7">
        <v>3</v>
      </c>
      <c r="Y1568" s="7">
        <v>4</v>
      </c>
      <c r="Z1568" s="7">
        <v>1</v>
      </c>
      <c r="AA1568" s="7">
        <v>1</v>
      </c>
      <c r="AB1568" s="7">
        <v>1</v>
      </c>
      <c r="AC1568" s="7" t="s">
        <v>0</v>
      </c>
      <c r="AD1568" s="7">
        <v>1</v>
      </c>
      <c r="AE1568" s="7" t="s">
        <v>532</v>
      </c>
    </row>
    <row r="1569" spans="1:31" ht="51" x14ac:dyDescent="0.2">
      <c r="A1569" s="8" t="str">
        <f>HYPERLINK("http://www.patentics.cn/invokexml.do?sx=showpatent_cn&amp;sf=ShowPatent&amp;spn=CN101194468B&amp;sx=showpatent_cn&amp;sv=67c866e1d8221ed1d29e8b3523a830a5","CN101194468B")</f>
        <v>CN101194468B</v>
      </c>
      <c r="B1569" s="9" t="s">
        <v>8070</v>
      </c>
      <c r="C1569" s="9" t="s">
        <v>8071</v>
      </c>
      <c r="D1569" s="9" t="s">
        <v>301</v>
      </c>
      <c r="E1569" s="9" t="s">
        <v>301</v>
      </c>
      <c r="F1569" s="9" t="s">
        <v>8072</v>
      </c>
      <c r="G1569" s="9" t="s">
        <v>8073</v>
      </c>
      <c r="H1569" s="9" t="s">
        <v>8074</v>
      </c>
      <c r="I1569" s="9" t="s">
        <v>7437</v>
      </c>
      <c r="J1569" s="9" t="s">
        <v>5627</v>
      </c>
      <c r="K1569" s="9" t="s">
        <v>68</v>
      </c>
      <c r="L1569" s="9" t="s">
        <v>446</v>
      </c>
      <c r="M1569" s="9">
        <v>35</v>
      </c>
      <c r="N1569" s="9">
        <v>19</v>
      </c>
      <c r="O1569" s="9" t="s">
        <v>57</v>
      </c>
      <c r="P1569" s="9" t="s">
        <v>58</v>
      </c>
      <c r="Q1569" s="9">
        <v>4</v>
      </c>
      <c r="R1569" s="9">
        <v>0</v>
      </c>
      <c r="S1569" s="9">
        <v>4</v>
      </c>
      <c r="T1569" s="9">
        <v>4</v>
      </c>
      <c r="U1569" s="9">
        <v>0</v>
      </c>
      <c r="V1569" s="9" t="s">
        <v>114</v>
      </c>
      <c r="W1569" s="9">
        <v>0</v>
      </c>
      <c r="X1569" s="9">
        <v>0</v>
      </c>
      <c r="Y1569" s="9">
        <v>0</v>
      </c>
      <c r="Z1569" s="9">
        <v>0</v>
      </c>
      <c r="AA1569" s="9">
        <v>15</v>
      </c>
      <c r="AB1569" s="9">
        <v>10</v>
      </c>
      <c r="AC1569" s="9">
        <v>14</v>
      </c>
      <c r="AD1569" s="9" t="s">
        <v>0</v>
      </c>
      <c r="AE1569" s="9" t="s">
        <v>60</v>
      </c>
    </row>
    <row r="1570" spans="1:31" ht="102" x14ac:dyDescent="0.2">
      <c r="A1570" s="6" t="str">
        <f>HYPERLINK("http://www.patentics.cn/invokexml.do?sx=showpatent_cn&amp;sf=ShowPatent&amp;spn=CN1468473&amp;sx=showpatent_cn&amp;sv=6b031f182f80407d29012e5cf6683d42","CN1468473")</f>
        <v>CN1468473</v>
      </c>
      <c r="B1570" s="7" t="s">
        <v>8075</v>
      </c>
      <c r="C1570" s="7" t="s">
        <v>8076</v>
      </c>
      <c r="D1570" s="7" t="s">
        <v>1608</v>
      </c>
      <c r="E1570" s="7" t="s">
        <v>1608</v>
      </c>
      <c r="F1570" s="7" t="s">
        <v>8077</v>
      </c>
      <c r="G1570" s="7" t="s">
        <v>8078</v>
      </c>
      <c r="H1570" s="7" t="s">
        <v>8079</v>
      </c>
      <c r="I1570" s="7" t="s">
        <v>8080</v>
      </c>
      <c r="J1570" s="7" t="s">
        <v>2990</v>
      </c>
      <c r="K1570" s="7" t="s">
        <v>89</v>
      </c>
      <c r="L1570" s="7" t="s">
        <v>136</v>
      </c>
      <c r="M1570" s="7">
        <v>72</v>
      </c>
      <c r="N1570" s="7">
        <v>16</v>
      </c>
      <c r="O1570" s="7" t="s">
        <v>42</v>
      </c>
      <c r="P1570" s="7" t="s">
        <v>58</v>
      </c>
      <c r="Q1570" s="7">
        <v>2</v>
      </c>
      <c r="R1570" s="7">
        <v>0</v>
      </c>
      <c r="S1570" s="7">
        <v>2</v>
      </c>
      <c r="T1570" s="7">
        <v>1</v>
      </c>
      <c r="U1570" s="7">
        <v>2</v>
      </c>
      <c r="V1570" s="7" t="s">
        <v>5355</v>
      </c>
      <c r="W1570" s="7">
        <v>0</v>
      </c>
      <c r="X1570" s="7">
        <v>2</v>
      </c>
      <c r="Y1570" s="7">
        <v>2</v>
      </c>
      <c r="Z1570" s="7">
        <v>1</v>
      </c>
      <c r="AA1570" s="7">
        <v>27</v>
      </c>
      <c r="AB1570" s="7">
        <v>15</v>
      </c>
      <c r="AC1570" s="7" t="s">
        <v>0</v>
      </c>
      <c r="AD1570" s="7">
        <v>1</v>
      </c>
      <c r="AE1570" s="7" t="s">
        <v>532</v>
      </c>
    </row>
    <row r="1571" spans="1:31" ht="63.75" x14ac:dyDescent="0.2">
      <c r="A1571" s="8" t="str">
        <f>HYPERLINK("http://www.patentics.cn/invokexml.do?sx=showpatent_cn&amp;sf=ShowPatent&amp;spn=CN103200523B&amp;sx=showpatent_cn&amp;sv=e0c1e8286a02808a51668f9c0513331b","CN103200523B")</f>
        <v>CN103200523B</v>
      </c>
      <c r="B1571" s="9" t="s">
        <v>8081</v>
      </c>
      <c r="C1571" s="9" t="s">
        <v>8082</v>
      </c>
      <c r="D1571" s="9" t="s">
        <v>301</v>
      </c>
      <c r="E1571" s="9" t="s">
        <v>301</v>
      </c>
      <c r="F1571" s="9" t="s">
        <v>8083</v>
      </c>
      <c r="G1571" s="9" t="s">
        <v>8084</v>
      </c>
      <c r="H1571" s="9" t="s">
        <v>8085</v>
      </c>
      <c r="I1571" s="9" t="s">
        <v>8086</v>
      </c>
      <c r="J1571" s="9" t="s">
        <v>2178</v>
      </c>
      <c r="K1571" s="9" t="s">
        <v>55</v>
      </c>
      <c r="L1571" s="9" t="s">
        <v>975</v>
      </c>
      <c r="M1571" s="9">
        <v>3</v>
      </c>
      <c r="N1571" s="9">
        <v>13</v>
      </c>
      <c r="O1571" s="9" t="s">
        <v>57</v>
      </c>
      <c r="P1571" s="9" t="s">
        <v>58</v>
      </c>
      <c r="Q1571" s="9">
        <v>4</v>
      </c>
      <c r="R1571" s="9">
        <v>0</v>
      </c>
      <c r="S1571" s="9">
        <v>4</v>
      </c>
      <c r="T1571" s="9">
        <v>3</v>
      </c>
      <c r="U1571" s="9">
        <v>0</v>
      </c>
      <c r="V1571" s="9" t="s">
        <v>114</v>
      </c>
      <c r="W1571" s="9">
        <v>0</v>
      </c>
      <c r="X1571" s="9">
        <v>0</v>
      </c>
      <c r="Y1571" s="9">
        <v>0</v>
      </c>
      <c r="Z1571" s="9">
        <v>0</v>
      </c>
      <c r="AA1571" s="9">
        <v>31</v>
      </c>
      <c r="AB1571" s="9">
        <v>13</v>
      </c>
      <c r="AC1571" s="9">
        <v>14</v>
      </c>
      <c r="AD1571" s="9" t="s">
        <v>0</v>
      </c>
      <c r="AE1571" s="9" t="s">
        <v>60</v>
      </c>
    </row>
    <row r="1572" spans="1:31" ht="25.5" x14ac:dyDescent="0.2">
      <c r="A1572" s="6" t="str">
        <f>HYPERLINK("http://www.patentics.cn/invokexml.do?sx=showpatent_cn&amp;sf=ShowPatent&amp;spn=CN1463104&amp;sx=showpatent_cn&amp;sv=5f17ffa04d4108beb36f3f361e98b351","CN1463104")</f>
        <v>CN1463104</v>
      </c>
      <c r="B1572" s="7" t="s">
        <v>8087</v>
      </c>
      <c r="C1572" s="7" t="s">
        <v>8088</v>
      </c>
      <c r="D1572" s="7" t="s">
        <v>1383</v>
      </c>
      <c r="E1572" s="7" t="s">
        <v>1383</v>
      </c>
      <c r="F1572" s="7" t="s">
        <v>8089</v>
      </c>
      <c r="G1572" s="7" t="s">
        <v>7331</v>
      </c>
      <c r="H1572" s="7" t="s">
        <v>0</v>
      </c>
      <c r="I1572" s="7" t="s">
        <v>4764</v>
      </c>
      <c r="J1572" s="7" t="s">
        <v>4717</v>
      </c>
      <c r="K1572" s="7" t="s">
        <v>40</v>
      </c>
      <c r="L1572" s="7" t="s">
        <v>2090</v>
      </c>
      <c r="M1572" s="7">
        <v>4</v>
      </c>
      <c r="N1572" s="7">
        <v>17</v>
      </c>
      <c r="O1572" s="7" t="s">
        <v>42</v>
      </c>
      <c r="P1572" s="7" t="s">
        <v>43</v>
      </c>
      <c r="Q1572" s="7">
        <v>0</v>
      </c>
      <c r="R1572" s="7">
        <v>0</v>
      </c>
      <c r="S1572" s="7">
        <v>0</v>
      </c>
      <c r="T1572" s="7">
        <v>0</v>
      </c>
      <c r="U1572" s="7">
        <v>4</v>
      </c>
      <c r="V1572" s="7" t="s">
        <v>8090</v>
      </c>
      <c r="W1572" s="7">
        <v>0</v>
      </c>
      <c r="X1572" s="7">
        <v>4</v>
      </c>
      <c r="Y1572" s="7">
        <v>3</v>
      </c>
      <c r="Z1572" s="7">
        <v>1</v>
      </c>
      <c r="AA1572" s="7">
        <v>0</v>
      </c>
      <c r="AB1572" s="7">
        <v>0</v>
      </c>
      <c r="AC1572" s="7" t="s">
        <v>0</v>
      </c>
      <c r="AD1572" s="7">
        <v>1</v>
      </c>
      <c r="AE1572" s="7" t="s">
        <v>45</v>
      </c>
    </row>
    <row r="1573" spans="1:31" ht="51" x14ac:dyDescent="0.2">
      <c r="A1573" s="8" t="str">
        <f>HYPERLINK("http://www.patentics.cn/invokexml.do?sx=showpatent_cn&amp;sf=ShowPatent&amp;spn=CN101946416B&amp;sx=showpatent_cn&amp;sv=7b519d4697813b27d9879c3a09a1ad6d","CN101946416B")</f>
        <v>CN101946416B</v>
      </c>
      <c r="B1573" s="9" t="s">
        <v>8091</v>
      </c>
      <c r="C1573" s="9" t="s">
        <v>8092</v>
      </c>
      <c r="D1573" s="9" t="s">
        <v>301</v>
      </c>
      <c r="E1573" s="9" t="s">
        <v>301</v>
      </c>
      <c r="F1573" s="9" t="s">
        <v>8093</v>
      </c>
      <c r="G1573" s="9" t="s">
        <v>8094</v>
      </c>
      <c r="H1573" s="9" t="s">
        <v>4181</v>
      </c>
      <c r="I1573" s="9" t="s">
        <v>651</v>
      </c>
      <c r="J1573" s="9" t="s">
        <v>4185</v>
      </c>
      <c r="K1573" s="9" t="s">
        <v>89</v>
      </c>
      <c r="L1573" s="9" t="s">
        <v>1961</v>
      </c>
      <c r="M1573" s="9">
        <v>22</v>
      </c>
      <c r="N1573" s="9">
        <v>28</v>
      </c>
      <c r="O1573" s="9" t="s">
        <v>57</v>
      </c>
      <c r="P1573" s="9" t="s">
        <v>58</v>
      </c>
      <c r="Q1573" s="9">
        <v>3</v>
      </c>
      <c r="R1573" s="9">
        <v>1</v>
      </c>
      <c r="S1573" s="9">
        <v>2</v>
      </c>
      <c r="T1573" s="9">
        <v>3</v>
      </c>
      <c r="U1573" s="9">
        <v>0</v>
      </c>
      <c r="V1573" s="9" t="s">
        <v>114</v>
      </c>
      <c r="W1573" s="9">
        <v>0</v>
      </c>
      <c r="X1573" s="9">
        <v>0</v>
      </c>
      <c r="Y1573" s="9">
        <v>0</v>
      </c>
      <c r="Z1573" s="9">
        <v>0</v>
      </c>
      <c r="AA1573" s="9">
        <v>23</v>
      </c>
      <c r="AB1573" s="9">
        <v>7</v>
      </c>
      <c r="AC1573" s="9">
        <v>14</v>
      </c>
      <c r="AD1573" s="9" t="s">
        <v>0</v>
      </c>
      <c r="AE1573" s="9" t="s">
        <v>60</v>
      </c>
    </row>
    <row r="1574" spans="1:31" ht="38.25" x14ac:dyDescent="0.2">
      <c r="A1574" s="6" t="str">
        <f>HYPERLINK("http://www.patentics.cn/invokexml.do?sx=showpatent_cn&amp;sf=ShowPatent&amp;spn=CN1463098&amp;sx=showpatent_cn&amp;sv=61d93e5311ae9cd09057dba2cef18abe","CN1463098")</f>
        <v>CN1463098</v>
      </c>
      <c r="B1574" s="7" t="s">
        <v>8095</v>
      </c>
      <c r="C1574" s="7" t="s">
        <v>8096</v>
      </c>
      <c r="D1574" s="7" t="s">
        <v>1383</v>
      </c>
      <c r="E1574" s="7" t="s">
        <v>1383</v>
      </c>
      <c r="F1574" s="7" t="s">
        <v>8097</v>
      </c>
      <c r="G1574" s="7" t="s">
        <v>7331</v>
      </c>
      <c r="H1574" s="7" t="s">
        <v>4764</v>
      </c>
      <c r="I1574" s="7" t="s">
        <v>4764</v>
      </c>
      <c r="J1574" s="7" t="s">
        <v>4717</v>
      </c>
      <c r="K1574" s="7" t="s">
        <v>40</v>
      </c>
      <c r="L1574" s="7" t="s">
        <v>41</v>
      </c>
      <c r="M1574" s="7">
        <v>3</v>
      </c>
      <c r="N1574" s="7">
        <v>64</v>
      </c>
      <c r="O1574" s="7" t="s">
        <v>42</v>
      </c>
      <c r="P1574" s="7" t="s">
        <v>43</v>
      </c>
      <c r="Q1574" s="7">
        <v>0</v>
      </c>
      <c r="R1574" s="7">
        <v>0</v>
      </c>
      <c r="S1574" s="7">
        <v>0</v>
      </c>
      <c r="T1574" s="7">
        <v>0</v>
      </c>
      <c r="U1574" s="7">
        <v>30</v>
      </c>
      <c r="V1574" s="7" t="s">
        <v>8098</v>
      </c>
      <c r="W1574" s="7">
        <v>0</v>
      </c>
      <c r="X1574" s="7">
        <v>30</v>
      </c>
      <c r="Y1574" s="7">
        <v>14</v>
      </c>
      <c r="Z1574" s="7">
        <v>3</v>
      </c>
      <c r="AA1574" s="7">
        <v>1</v>
      </c>
      <c r="AB1574" s="7">
        <v>1</v>
      </c>
      <c r="AC1574" s="7" t="s">
        <v>0</v>
      </c>
      <c r="AD1574" s="7">
        <v>1</v>
      </c>
      <c r="AE1574" s="7" t="s">
        <v>532</v>
      </c>
    </row>
    <row r="1575" spans="1:31" ht="89.25" x14ac:dyDescent="0.2">
      <c r="A1575" s="8" t="str">
        <f>HYPERLINK("http://www.patentics.cn/invokexml.do?sx=showpatent_cn&amp;sf=ShowPatent&amp;spn=CN101529787B&amp;sx=showpatent_cn&amp;sv=f5c220a1cc6b3d696e09a6f15e1ae62f","CN101529787B")</f>
        <v>CN101529787B</v>
      </c>
      <c r="B1575" s="9" t="s">
        <v>8099</v>
      </c>
      <c r="C1575" s="9" t="s">
        <v>8100</v>
      </c>
      <c r="D1575" s="9" t="s">
        <v>301</v>
      </c>
      <c r="E1575" s="9" t="s">
        <v>301</v>
      </c>
      <c r="F1575" s="9" t="s">
        <v>8101</v>
      </c>
      <c r="G1575" s="9" t="s">
        <v>8102</v>
      </c>
      <c r="H1575" s="9" t="s">
        <v>8103</v>
      </c>
      <c r="I1575" s="9" t="s">
        <v>8104</v>
      </c>
      <c r="J1575" s="9" t="s">
        <v>2939</v>
      </c>
      <c r="K1575" s="9" t="s">
        <v>68</v>
      </c>
      <c r="L1575" s="9" t="s">
        <v>306</v>
      </c>
      <c r="M1575" s="9">
        <v>48</v>
      </c>
      <c r="N1575" s="9">
        <v>13</v>
      </c>
      <c r="O1575" s="9" t="s">
        <v>57</v>
      </c>
      <c r="P1575" s="9" t="s">
        <v>58</v>
      </c>
      <c r="Q1575" s="9">
        <v>1</v>
      </c>
      <c r="R1575" s="9">
        <v>0</v>
      </c>
      <c r="S1575" s="9">
        <v>1</v>
      </c>
      <c r="T1575" s="9">
        <v>1</v>
      </c>
      <c r="U1575" s="9">
        <v>0</v>
      </c>
      <c r="V1575" s="9" t="s">
        <v>114</v>
      </c>
      <c r="W1575" s="9">
        <v>0</v>
      </c>
      <c r="X1575" s="9">
        <v>0</v>
      </c>
      <c r="Y1575" s="9">
        <v>0</v>
      </c>
      <c r="Z1575" s="9">
        <v>0</v>
      </c>
      <c r="AA1575" s="9">
        <v>24</v>
      </c>
      <c r="AB1575" s="9">
        <v>10</v>
      </c>
      <c r="AC1575" s="9">
        <v>14</v>
      </c>
      <c r="AD1575" s="9" t="s">
        <v>0</v>
      </c>
      <c r="AE1575" s="9" t="s">
        <v>60</v>
      </c>
    </row>
    <row r="1576" spans="1:31" ht="63.75" x14ac:dyDescent="0.2">
      <c r="A1576" s="6" t="str">
        <f>HYPERLINK("http://www.patentics.cn/invokexml.do?sx=showpatent_cn&amp;sf=ShowPatent&amp;spn=CN1463083&amp;sx=showpatent_cn&amp;sv=72e7f099f80cfb1ec2b3f8f41f573cc7","CN1463083")</f>
        <v>CN1463083</v>
      </c>
      <c r="B1576" s="7" t="s">
        <v>8105</v>
      </c>
      <c r="C1576" s="7" t="s">
        <v>8106</v>
      </c>
      <c r="D1576" s="7" t="s">
        <v>1383</v>
      </c>
      <c r="E1576" s="7" t="s">
        <v>1383</v>
      </c>
      <c r="F1576" s="7" t="s">
        <v>8107</v>
      </c>
      <c r="G1576" s="7" t="s">
        <v>7331</v>
      </c>
      <c r="H1576" s="7" t="s">
        <v>4764</v>
      </c>
      <c r="I1576" s="7" t="s">
        <v>4764</v>
      </c>
      <c r="J1576" s="7" t="s">
        <v>4717</v>
      </c>
      <c r="K1576" s="7" t="s">
        <v>89</v>
      </c>
      <c r="L1576" s="7" t="s">
        <v>1811</v>
      </c>
      <c r="M1576" s="7">
        <v>4</v>
      </c>
      <c r="N1576" s="7">
        <v>44</v>
      </c>
      <c r="O1576" s="7" t="s">
        <v>42</v>
      </c>
      <c r="P1576" s="7" t="s">
        <v>43</v>
      </c>
      <c r="Q1576" s="7">
        <v>0</v>
      </c>
      <c r="R1576" s="7">
        <v>0</v>
      </c>
      <c r="S1576" s="7">
        <v>0</v>
      </c>
      <c r="T1576" s="7">
        <v>0</v>
      </c>
      <c r="U1576" s="7">
        <v>16</v>
      </c>
      <c r="V1576" s="7" t="s">
        <v>8108</v>
      </c>
      <c r="W1576" s="7">
        <v>4</v>
      </c>
      <c r="X1576" s="7">
        <v>12</v>
      </c>
      <c r="Y1576" s="7">
        <v>12</v>
      </c>
      <c r="Z1576" s="7">
        <v>2</v>
      </c>
      <c r="AA1576" s="7">
        <v>1</v>
      </c>
      <c r="AB1576" s="7">
        <v>1</v>
      </c>
      <c r="AC1576" s="7" t="s">
        <v>0</v>
      </c>
      <c r="AD1576" s="7">
        <v>1</v>
      </c>
      <c r="AE1576" s="7" t="s">
        <v>60</v>
      </c>
    </row>
    <row r="1577" spans="1:31" ht="114.75" x14ac:dyDescent="0.2">
      <c r="A1577" s="8" t="str">
        <f>HYPERLINK("http://www.patentics.cn/invokexml.do?sx=showpatent_cn&amp;sf=ShowPatent&amp;spn=CN1939017B&amp;sx=showpatent_cn&amp;sv=57634cada0e8f949bcd15a5305700513","CN1939017B")</f>
        <v>CN1939017B</v>
      </c>
      <c r="B1577" s="9" t="s">
        <v>8109</v>
      </c>
      <c r="C1577" s="9" t="s">
        <v>8110</v>
      </c>
      <c r="D1577" s="9" t="s">
        <v>301</v>
      </c>
      <c r="E1577" s="9" t="s">
        <v>301</v>
      </c>
      <c r="F1577" s="9" t="s">
        <v>8111</v>
      </c>
      <c r="G1577" s="9" t="s">
        <v>8112</v>
      </c>
      <c r="H1577" s="9" t="s">
        <v>8113</v>
      </c>
      <c r="I1577" s="9" t="s">
        <v>8114</v>
      </c>
      <c r="J1577" s="9" t="s">
        <v>6201</v>
      </c>
      <c r="K1577" s="9" t="s">
        <v>68</v>
      </c>
      <c r="L1577" s="9" t="s">
        <v>428</v>
      </c>
      <c r="M1577" s="9">
        <v>8</v>
      </c>
      <c r="N1577" s="9">
        <v>22</v>
      </c>
      <c r="O1577" s="9" t="s">
        <v>57</v>
      </c>
      <c r="P1577" s="9" t="s">
        <v>58</v>
      </c>
      <c r="Q1577" s="9">
        <v>3</v>
      </c>
      <c r="R1577" s="9">
        <v>0</v>
      </c>
      <c r="S1577" s="9">
        <v>3</v>
      </c>
      <c r="T1577" s="9">
        <v>3</v>
      </c>
      <c r="U1577" s="9">
        <v>0</v>
      </c>
      <c r="V1577" s="9" t="s">
        <v>114</v>
      </c>
      <c r="W1577" s="9">
        <v>0</v>
      </c>
      <c r="X1577" s="9">
        <v>0</v>
      </c>
      <c r="Y1577" s="9">
        <v>0</v>
      </c>
      <c r="Z1577" s="9">
        <v>0</v>
      </c>
      <c r="AA1577" s="9">
        <v>16</v>
      </c>
      <c r="AB1577" s="9">
        <v>11</v>
      </c>
      <c r="AC1577" s="9">
        <v>14</v>
      </c>
      <c r="AD1577" s="9" t="s">
        <v>0</v>
      </c>
      <c r="AE1577" s="9" t="s">
        <v>60</v>
      </c>
    </row>
    <row r="1578" spans="1:31" ht="38.25" x14ac:dyDescent="0.2">
      <c r="A1578" s="6" t="str">
        <f>HYPERLINK("http://www.patentics.cn/invokexml.do?sx=showpatent_cn&amp;sf=ShowPatent&amp;spn=CN1455533&amp;sx=showpatent_cn&amp;sv=ecc7877e59b05ae94e64fa9abf558d44","CN1455533")</f>
        <v>CN1455533</v>
      </c>
      <c r="B1578" s="7" t="s">
        <v>8115</v>
      </c>
      <c r="C1578" s="7" t="s">
        <v>8116</v>
      </c>
      <c r="D1578" s="7" t="s">
        <v>8117</v>
      </c>
      <c r="E1578" s="7" t="s">
        <v>8118</v>
      </c>
      <c r="F1578" s="7" t="s">
        <v>8119</v>
      </c>
      <c r="G1578" s="7" t="s">
        <v>5562</v>
      </c>
      <c r="H1578" s="7" t="s">
        <v>8120</v>
      </c>
      <c r="I1578" s="7" t="s">
        <v>8120</v>
      </c>
      <c r="J1578" s="7" t="s">
        <v>2787</v>
      </c>
      <c r="K1578" s="7" t="s">
        <v>40</v>
      </c>
      <c r="L1578" s="7" t="s">
        <v>8121</v>
      </c>
      <c r="M1578" s="7">
        <v>12</v>
      </c>
      <c r="N1578" s="7">
        <v>41</v>
      </c>
      <c r="O1578" s="7" t="s">
        <v>42</v>
      </c>
      <c r="P1578" s="7" t="s">
        <v>43</v>
      </c>
      <c r="Q1578" s="7">
        <v>0</v>
      </c>
      <c r="R1578" s="7">
        <v>0</v>
      </c>
      <c r="S1578" s="7">
        <v>0</v>
      </c>
      <c r="T1578" s="7">
        <v>0</v>
      </c>
      <c r="U1578" s="7">
        <v>15</v>
      </c>
      <c r="V1578" s="7" t="s">
        <v>8122</v>
      </c>
      <c r="W1578" s="7">
        <v>1</v>
      </c>
      <c r="X1578" s="7">
        <v>14</v>
      </c>
      <c r="Y1578" s="7">
        <v>11</v>
      </c>
      <c r="Z1578" s="7">
        <v>1</v>
      </c>
      <c r="AA1578" s="7">
        <v>1</v>
      </c>
      <c r="AB1578" s="7">
        <v>1</v>
      </c>
      <c r="AC1578" s="7" t="s">
        <v>0</v>
      </c>
      <c r="AD1578" s="7">
        <v>1</v>
      </c>
      <c r="AE1578" s="7" t="s">
        <v>532</v>
      </c>
    </row>
    <row r="1579" spans="1:31" ht="63.75" x14ac:dyDescent="0.2">
      <c r="A1579" s="8" t="str">
        <f>HYPERLINK("http://www.patentics.cn/invokexml.do?sx=showpatent_cn&amp;sf=ShowPatent&amp;spn=CN101164309B&amp;sx=showpatent_cn&amp;sv=d15f64472d370532841b3bfc5d8b9d5f","CN101164309B")</f>
        <v>CN101164309B</v>
      </c>
      <c r="B1579" s="9" t="s">
        <v>8123</v>
      </c>
      <c r="C1579" s="9" t="s">
        <v>8124</v>
      </c>
      <c r="D1579" s="9" t="s">
        <v>301</v>
      </c>
      <c r="E1579" s="9" t="s">
        <v>301</v>
      </c>
      <c r="F1579" s="9" t="s">
        <v>8125</v>
      </c>
      <c r="G1579" s="9" t="s">
        <v>8126</v>
      </c>
      <c r="H1579" s="9" t="s">
        <v>261</v>
      </c>
      <c r="I1579" s="9" t="s">
        <v>8127</v>
      </c>
      <c r="J1579" s="9" t="s">
        <v>8128</v>
      </c>
      <c r="K1579" s="9" t="s">
        <v>68</v>
      </c>
      <c r="L1579" s="9" t="s">
        <v>281</v>
      </c>
      <c r="M1579" s="9">
        <v>21</v>
      </c>
      <c r="N1579" s="9">
        <v>23</v>
      </c>
      <c r="O1579" s="9" t="s">
        <v>57</v>
      </c>
      <c r="P1579" s="9" t="s">
        <v>58</v>
      </c>
      <c r="Q1579" s="9">
        <v>5</v>
      </c>
      <c r="R1579" s="9">
        <v>0</v>
      </c>
      <c r="S1579" s="9">
        <v>5</v>
      </c>
      <c r="T1579" s="9">
        <v>5</v>
      </c>
      <c r="U1579" s="9">
        <v>0</v>
      </c>
      <c r="V1579" s="9" t="s">
        <v>114</v>
      </c>
      <c r="W1579" s="9">
        <v>0</v>
      </c>
      <c r="X1579" s="9">
        <v>0</v>
      </c>
      <c r="Y1579" s="9">
        <v>0</v>
      </c>
      <c r="Z1579" s="9">
        <v>0</v>
      </c>
      <c r="AA1579" s="9">
        <v>38</v>
      </c>
      <c r="AB1579" s="9">
        <v>9</v>
      </c>
      <c r="AC1579" s="9">
        <v>14</v>
      </c>
      <c r="AD1579" s="9" t="s">
        <v>0</v>
      </c>
      <c r="AE1579" s="9" t="s">
        <v>60</v>
      </c>
    </row>
    <row r="1580" spans="1:31" ht="38.25" x14ac:dyDescent="0.2">
      <c r="A1580" s="6" t="str">
        <f>HYPERLINK("http://www.patentics.cn/invokexml.do?sx=showpatent_cn&amp;sf=ShowPatent&amp;spn=CN1452332&amp;sx=showpatent_cn&amp;sv=fb964e151511b61a6e4e0c2856ec1127","CN1452332")</f>
        <v>CN1452332</v>
      </c>
      <c r="B1580" s="7" t="s">
        <v>8129</v>
      </c>
      <c r="C1580" s="7" t="s">
        <v>8130</v>
      </c>
      <c r="D1580" s="7" t="s">
        <v>1383</v>
      </c>
      <c r="E1580" s="7" t="s">
        <v>1383</v>
      </c>
      <c r="F1580" s="7" t="s">
        <v>8131</v>
      </c>
      <c r="G1580" s="7" t="s">
        <v>8132</v>
      </c>
      <c r="H1580" s="7" t="s">
        <v>8133</v>
      </c>
      <c r="I1580" s="7" t="s">
        <v>8133</v>
      </c>
      <c r="J1580" s="7" t="s">
        <v>8134</v>
      </c>
      <c r="K1580" s="7" t="s">
        <v>40</v>
      </c>
      <c r="L1580" s="7" t="s">
        <v>41</v>
      </c>
      <c r="M1580" s="7">
        <v>3</v>
      </c>
      <c r="N1580" s="7">
        <v>62</v>
      </c>
      <c r="O1580" s="7" t="s">
        <v>42</v>
      </c>
      <c r="P1580" s="7" t="s">
        <v>43</v>
      </c>
      <c r="Q1580" s="7">
        <v>0</v>
      </c>
      <c r="R1580" s="7">
        <v>0</v>
      </c>
      <c r="S1580" s="7">
        <v>0</v>
      </c>
      <c r="T1580" s="7">
        <v>0</v>
      </c>
      <c r="U1580" s="7">
        <v>5</v>
      </c>
      <c r="V1580" s="7" t="s">
        <v>8135</v>
      </c>
      <c r="W1580" s="7">
        <v>0</v>
      </c>
      <c r="X1580" s="7">
        <v>5</v>
      </c>
      <c r="Y1580" s="7">
        <v>5</v>
      </c>
      <c r="Z1580" s="7">
        <v>1</v>
      </c>
      <c r="AA1580" s="7">
        <v>1</v>
      </c>
      <c r="AB1580" s="7">
        <v>1</v>
      </c>
      <c r="AC1580" s="7" t="s">
        <v>0</v>
      </c>
      <c r="AD1580" s="7">
        <v>1</v>
      </c>
      <c r="AE1580" s="7" t="s">
        <v>60</v>
      </c>
    </row>
    <row r="1581" spans="1:31" ht="25.5" x14ac:dyDescent="0.2">
      <c r="A1581" s="8" t="str">
        <f>HYPERLINK("http://www.patentics.cn/invokexml.do?sx=showpatent_cn&amp;sf=ShowPatent&amp;spn=CN101406092B&amp;sx=showpatent_cn&amp;sv=cdfdb724f227a2cee23dccfeb1e42b3d","CN101406092B")</f>
        <v>CN101406092B</v>
      </c>
      <c r="B1581" s="9" t="s">
        <v>8136</v>
      </c>
      <c r="C1581" s="9" t="s">
        <v>8137</v>
      </c>
      <c r="D1581" s="9" t="s">
        <v>301</v>
      </c>
      <c r="E1581" s="9" t="s">
        <v>301</v>
      </c>
      <c r="F1581" s="9" t="s">
        <v>8138</v>
      </c>
      <c r="G1581" s="9" t="s">
        <v>8138</v>
      </c>
      <c r="H1581" s="9" t="s">
        <v>8139</v>
      </c>
      <c r="I1581" s="9" t="s">
        <v>8140</v>
      </c>
      <c r="J1581" s="9" t="s">
        <v>8141</v>
      </c>
      <c r="K1581" s="9" t="s">
        <v>55</v>
      </c>
      <c r="L1581" s="9" t="s">
        <v>5171</v>
      </c>
      <c r="M1581" s="9">
        <v>30</v>
      </c>
      <c r="N1581" s="9">
        <v>6</v>
      </c>
      <c r="O1581" s="9" t="s">
        <v>57</v>
      </c>
      <c r="P1581" s="9" t="s">
        <v>58</v>
      </c>
      <c r="Q1581" s="9">
        <v>4</v>
      </c>
      <c r="R1581" s="9">
        <v>0</v>
      </c>
      <c r="S1581" s="9">
        <v>4</v>
      </c>
      <c r="T1581" s="9">
        <v>3</v>
      </c>
      <c r="U1581" s="9">
        <v>0</v>
      </c>
      <c r="V1581" s="9" t="s">
        <v>114</v>
      </c>
      <c r="W1581" s="9">
        <v>0</v>
      </c>
      <c r="X1581" s="9">
        <v>0</v>
      </c>
      <c r="Y1581" s="9">
        <v>0</v>
      </c>
      <c r="Z1581" s="9">
        <v>0</v>
      </c>
      <c r="AA1581" s="9">
        <v>49</v>
      </c>
      <c r="AB1581" s="9">
        <v>19</v>
      </c>
      <c r="AC1581" s="9">
        <v>14</v>
      </c>
      <c r="AD1581" s="9" t="s">
        <v>0</v>
      </c>
      <c r="AE1581" s="9" t="s">
        <v>60</v>
      </c>
    </row>
    <row r="1582" spans="1:31" ht="38.25" x14ac:dyDescent="0.2">
      <c r="A1582" s="6" t="str">
        <f>HYPERLINK("http://www.patentics.cn/invokexml.do?sx=showpatent_cn&amp;sf=ShowPatent&amp;spn=CN1450816&amp;sx=showpatent_cn&amp;sv=94223148192bb1be9e18207714d278a8","CN1450816")</f>
        <v>CN1450816</v>
      </c>
      <c r="B1582" s="7" t="s">
        <v>8142</v>
      </c>
      <c r="C1582" s="7" t="s">
        <v>8143</v>
      </c>
      <c r="D1582" s="7" t="s">
        <v>2246</v>
      </c>
      <c r="E1582" s="7" t="s">
        <v>2246</v>
      </c>
      <c r="F1582" s="7" t="s">
        <v>8144</v>
      </c>
      <c r="G1582" s="7" t="s">
        <v>8145</v>
      </c>
      <c r="H1582" s="7" t="s">
        <v>8146</v>
      </c>
      <c r="I1582" s="7" t="s">
        <v>8146</v>
      </c>
      <c r="J1582" s="7" t="s">
        <v>611</v>
      </c>
      <c r="K1582" s="7" t="s">
        <v>714</v>
      </c>
      <c r="L1582" s="7" t="s">
        <v>3448</v>
      </c>
      <c r="M1582" s="7">
        <v>8</v>
      </c>
      <c r="N1582" s="7">
        <v>25</v>
      </c>
      <c r="O1582" s="7" t="s">
        <v>42</v>
      </c>
      <c r="P1582" s="7" t="s">
        <v>43</v>
      </c>
      <c r="Q1582" s="7">
        <v>0</v>
      </c>
      <c r="R1582" s="7">
        <v>0</v>
      </c>
      <c r="S1582" s="7">
        <v>0</v>
      </c>
      <c r="T1582" s="7">
        <v>0</v>
      </c>
      <c r="U1582" s="7">
        <v>42</v>
      </c>
      <c r="V1582" s="7" t="s">
        <v>8147</v>
      </c>
      <c r="W1582" s="7">
        <v>0</v>
      </c>
      <c r="X1582" s="7">
        <v>42</v>
      </c>
      <c r="Y1582" s="7">
        <v>19</v>
      </c>
      <c r="Z1582" s="7">
        <v>3</v>
      </c>
      <c r="AA1582" s="7">
        <v>1</v>
      </c>
      <c r="AB1582" s="7">
        <v>1</v>
      </c>
      <c r="AC1582" s="7" t="s">
        <v>0</v>
      </c>
      <c r="AD1582" s="7">
        <v>1</v>
      </c>
      <c r="AE1582" s="7" t="s">
        <v>532</v>
      </c>
    </row>
    <row r="1583" spans="1:31" ht="51" x14ac:dyDescent="0.2">
      <c r="A1583" s="8" t="str">
        <f>HYPERLINK("http://www.patentics.cn/invokexml.do?sx=showpatent_cn&amp;sf=ShowPatent&amp;spn=CN101496413B&amp;sx=showpatent_cn&amp;sv=f5f48662105ffec7cfe90f91a3bddfc8","CN101496413B")</f>
        <v>CN101496413B</v>
      </c>
      <c r="B1583" s="9" t="s">
        <v>8148</v>
      </c>
      <c r="C1583" s="9" t="s">
        <v>8149</v>
      </c>
      <c r="D1583" s="9" t="s">
        <v>301</v>
      </c>
      <c r="E1583" s="9" t="s">
        <v>301</v>
      </c>
      <c r="F1583" s="9" t="s">
        <v>8150</v>
      </c>
      <c r="G1583" s="9" t="s">
        <v>8151</v>
      </c>
      <c r="H1583" s="9" t="s">
        <v>2507</v>
      </c>
      <c r="I1583" s="9" t="s">
        <v>8152</v>
      </c>
      <c r="J1583" s="9" t="s">
        <v>3900</v>
      </c>
      <c r="K1583" s="9" t="s">
        <v>714</v>
      </c>
      <c r="L1583" s="9" t="s">
        <v>3448</v>
      </c>
      <c r="M1583" s="9">
        <v>43</v>
      </c>
      <c r="N1583" s="9">
        <v>40</v>
      </c>
      <c r="O1583" s="9" t="s">
        <v>57</v>
      </c>
      <c r="P1583" s="9" t="s">
        <v>58</v>
      </c>
      <c r="Q1583" s="9">
        <v>5</v>
      </c>
      <c r="R1583" s="9">
        <v>0</v>
      </c>
      <c r="S1583" s="9">
        <v>5</v>
      </c>
      <c r="T1583" s="9">
        <v>4</v>
      </c>
      <c r="U1583" s="9">
        <v>1</v>
      </c>
      <c r="V1583" s="9" t="s">
        <v>1591</v>
      </c>
      <c r="W1583" s="9">
        <v>0</v>
      </c>
      <c r="X1583" s="9">
        <v>1</v>
      </c>
      <c r="Y1583" s="9">
        <v>1</v>
      </c>
      <c r="Z1583" s="9">
        <v>1</v>
      </c>
      <c r="AA1583" s="9">
        <v>26</v>
      </c>
      <c r="AB1583" s="9">
        <v>9</v>
      </c>
      <c r="AC1583" s="9">
        <v>14</v>
      </c>
      <c r="AD1583" s="9" t="s">
        <v>0</v>
      </c>
      <c r="AE1583" s="9" t="s">
        <v>60</v>
      </c>
    </row>
    <row r="1584" spans="1:31" ht="25.5" x14ac:dyDescent="0.2">
      <c r="A1584" s="6" t="str">
        <f>HYPERLINK("http://www.patentics.cn/invokexml.do?sx=showpatent_cn&amp;sf=ShowPatent&amp;spn=CN1449165&amp;sx=showpatent_cn&amp;sv=be8bfa52d3345a8b5d0270fcea314f95","CN1449165")</f>
        <v>CN1449165</v>
      </c>
      <c r="B1584" s="7" t="s">
        <v>8153</v>
      </c>
      <c r="C1584" s="7" t="s">
        <v>8154</v>
      </c>
      <c r="D1584" s="7" t="s">
        <v>8155</v>
      </c>
      <c r="E1584" s="7" t="s">
        <v>8155</v>
      </c>
      <c r="F1584" s="7" t="s">
        <v>8156</v>
      </c>
      <c r="G1584" s="7" t="s">
        <v>8157</v>
      </c>
      <c r="H1584" s="7" t="s">
        <v>0</v>
      </c>
      <c r="I1584" s="7" t="s">
        <v>8158</v>
      </c>
      <c r="J1584" s="7" t="s">
        <v>8159</v>
      </c>
      <c r="K1584" s="7" t="s">
        <v>68</v>
      </c>
      <c r="L1584" s="7" t="s">
        <v>5726</v>
      </c>
      <c r="M1584" s="7">
        <v>2</v>
      </c>
      <c r="N1584" s="7">
        <v>24</v>
      </c>
      <c r="O1584" s="7" t="s">
        <v>42</v>
      </c>
      <c r="P1584" s="7" t="s">
        <v>43</v>
      </c>
      <c r="Q1584" s="7">
        <v>0</v>
      </c>
      <c r="R1584" s="7">
        <v>0</v>
      </c>
      <c r="S1584" s="7">
        <v>0</v>
      </c>
      <c r="T1584" s="7">
        <v>0</v>
      </c>
      <c r="U1584" s="7">
        <v>3</v>
      </c>
      <c r="V1584" s="7" t="s">
        <v>5839</v>
      </c>
      <c r="W1584" s="7">
        <v>0</v>
      </c>
      <c r="X1584" s="7">
        <v>3</v>
      </c>
      <c r="Y1584" s="7">
        <v>2</v>
      </c>
      <c r="Z1584" s="7">
        <v>1</v>
      </c>
      <c r="AA1584" s="7">
        <v>0</v>
      </c>
      <c r="AB1584" s="7">
        <v>0</v>
      </c>
      <c r="AC1584" s="7" t="s">
        <v>0</v>
      </c>
      <c r="AD1584" s="7">
        <v>1</v>
      </c>
      <c r="AE1584" s="7" t="s">
        <v>45</v>
      </c>
    </row>
    <row r="1585" spans="1:31" ht="38.25" x14ac:dyDescent="0.2">
      <c r="A1585" s="8" t="str">
        <f>HYPERLINK("http://www.patentics.cn/invokexml.do?sx=showpatent_cn&amp;sf=ShowPatent&amp;spn=CN101120567B&amp;sx=showpatent_cn&amp;sv=3bdd53cf7f4bca5adc982db34bc5c0cf","CN101120567B")</f>
        <v>CN101120567B</v>
      </c>
      <c r="B1585" s="9" t="s">
        <v>8160</v>
      </c>
      <c r="C1585" s="9" t="s">
        <v>8161</v>
      </c>
      <c r="D1585" s="9" t="s">
        <v>301</v>
      </c>
      <c r="E1585" s="9" t="s">
        <v>301</v>
      </c>
      <c r="F1585" s="9" t="s">
        <v>8162</v>
      </c>
      <c r="G1585" s="9" t="s">
        <v>8163</v>
      </c>
      <c r="H1585" s="9" t="s">
        <v>8164</v>
      </c>
      <c r="I1585" s="9" t="s">
        <v>2864</v>
      </c>
      <c r="J1585" s="9" t="s">
        <v>8165</v>
      </c>
      <c r="K1585" s="9" t="s">
        <v>68</v>
      </c>
      <c r="L1585" s="9" t="s">
        <v>8166</v>
      </c>
      <c r="M1585" s="9">
        <v>17</v>
      </c>
      <c r="N1585" s="9">
        <v>14</v>
      </c>
      <c r="O1585" s="9" t="s">
        <v>57</v>
      </c>
      <c r="P1585" s="9" t="s">
        <v>58</v>
      </c>
      <c r="Q1585" s="9">
        <v>3</v>
      </c>
      <c r="R1585" s="9">
        <v>0</v>
      </c>
      <c r="S1585" s="9">
        <v>3</v>
      </c>
      <c r="T1585" s="9">
        <v>2</v>
      </c>
      <c r="U1585" s="9">
        <v>0</v>
      </c>
      <c r="V1585" s="9" t="s">
        <v>114</v>
      </c>
      <c r="W1585" s="9">
        <v>0</v>
      </c>
      <c r="X1585" s="9">
        <v>0</v>
      </c>
      <c r="Y1585" s="9">
        <v>0</v>
      </c>
      <c r="Z1585" s="9">
        <v>0</v>
      </c>
      <c r="AA1585" s="9">
        <v>26</v>
      </c>
      <c r="AB1585" s="9">
        <v>9</v>
      </c>
      <c r="AC1585" s="9">
        <v>14</v>
      </c>
      <c r="AD1585" s="9" t="s">
        <v>0</v>
      </c>
      <c r="AE1585" s="9" t="s">
        <v>60</v>
      </c>
    </row>
    <row r="1586" spans="1:31" ht="25.5" x14ac:dyDescent="0.2">
      <c r="A1586" s="6" t="str">
        <f>HYPERLINK("http://www.patentics.cn/invokexml.do?sx=showpatent_cn&amp;sf=ShowPatent&amp;spn=CN1448727&amp;sx=showpatent_cn&amp;sv=4aaf3588304e12b035e9ca8a3f902931","CN1448727")</f>
        <v>CN1448727</v>
      </c>
      <c r="B1586" s="7" t="s">
        <v>8167</v>
      </c>
      <c r="C1586" s="7" t="s">
        <v>8168</v>
      </c>
      <c r="D1586" s="7" t="s">
        <v>6333</v>
      </c>
      <c r="E1586" s="7" t="s">
        <v>6333</v>
      </c>
      <c r="F1586" s="7" t="s">
        <v>8169</v>
      </c>
      <c r="G1586" s="7" t="s">
        <v>8170</v>
      </c>
      <c r="H1586" s="7" t="s">
        <v>0</v>
      </c>
      <c r="I1586" s="7" t="s">
        <v>8171</v>
      </c>
      <c r="J1586" s="7" t="s">
        <v>8159</v>
      </c>
      <c r="K1586" s="7" t="s">
        <v>2217</v>
      </c>
      <c r="L1586" s="7" t="s">
        <v>8172</v>
      </c>
      <c r="M1586" s="7">
        <v>7</v>
      </c>
      <c r="N1586" s="7">
        <v>6</v>
      </c>
      <c r="O1586" s="7" t="s">
        <v>42</v>
      </c>
      <c r="P1586" s="7" t="s">
        <v>43</v>
      </c>
      <c r="Q1586" s="7">
        <v>0</v>
      </c>
      <c r="R1586" s="7">
        <v>0</v>
      </c>
      <c r="S1586" s="7">
        <v>0</v>
      </c>
      <c r="T1586" s="7">
        <v>0</v>
      </c>
      <c r="U1586" s="7">
        <v>1</v>
      </c>
      <c r="V1586" s="7" t="s">
        <v>484</v>
      </c>
      <c r="W1586" s="7">
        <v>0</v>
      </c>
      <c r="X1586" s="7">
        <v>1</v>
      </c>
      <c r="Y1586" s="7">
        <v>1</v>
      </c>
      <c r="Z1586" s="7">
        <v>1</v>
      </c>
      <c r="AA1586" s="7">
        <v>0</v>
      </c>
      <c r="AB1586" s="7">
        <v>0</v>
      </c>
      <c r="AC1586" s="7" t="s">
        <v>0</v>
      </c>
      <c r="AD1586" s="7">
        <v>1</v>
      </c>
      <c r="AE1586" s="7" t="s">
        <v>1390</v>
      </c>
    </row>
    <row r="1587" spans="1:31" ht="89.25" x14ac:dyDescent="0.2">
      <c r="A1587" s="8" t="str">
        <f>HYPERLINK("http://www.patentics.cn/invokexml.do?sx=showpatent_cn&amp;sf=ShowPatent&amp;spn=CN100592090C&amp;sx=showpatent_cn&amp;sv=90cae1141779fd25207accb3e62376e6","CN100592090C")</f>
        <v>CN100592090C</v>
      </c>
      <c r="B1587" s="9" t="s">
        <v>8173</v>
      </c>
      <c r="C1587" s="9" t="s">
        <v>8174</v>
      </c>
      <c r="D1587" s="9" t="s">
        <v>301</v>
      </c>
      <c r="E1587" s="9" t="s">
        <v>301</v>
      </c>
      <c r="F1587" s="9" t="s">
        <v>8175</v>
      </c>
      <c r="G1587" s="9" t="s">
        <v>8176</v>
      </c>
      <c r="H1587" s="9" t="s">
        <v>8177</v>
      </c>
      <c r="I1587" s="9" t="s">
        <v>8178</v>
      </c>
      <c r="J1587" s="9" t="s">
        <v>8179</v>
      </c>
      <c r="K1587" s="9" t="s">
        <v>2217</v>
      </c>
      <c r="L1587" s="9" t="s">
        <v>8172</v>
      </c>
      <c r="M1587" s="9">
        <v>48</v>
      </c>
      <c r="N1587" s="9">
        <v>16</v>
      </c>
      <c r="O1587" s="9" t="s">
        <v>57</v>
      </c>
      <c r="P1587" s="9" t="s">
        <v>58</v>
      </c>
      <c r="Q1587" s="9">
        <v>6</v>
      </c>
      <c r="R1587" s="9">
        <v>1</v>
      </c>
      <c r="S1587" s="9">
        <v>5</v>
      </c>
      <c r="T1587" s="9">
        <v>6</v>
      </c>
      <c r="U1587" s="9">
        <v>0</v>
      </c>
      <c r="V1587" s="9" t="s">
        <v>114</v>
      </c>
      <c r="W1587" s="9">
        <v>0</v>
      </c>
      <c r="X1587" s="9">
        <v>0</v>
      </c>
      <c r="Y1587" s="9">
        <v>0</v>
      </c>
      <c r="Z1587" s="9">
        <v>0</v>
      </c>
      <c r="AA1587" s="9">
        <v>13</v>
      </c>
      <c r="AB1587" s="9">
        <v>7</v>
      </c>
      <c r="AC1587" s="9">
        <v>14</v>
      </c>
      <c r="AD1587" s="9" t="s">
        <v>0</v>
      </c>
      <c r="AE1587" s="9" t="s">
        <v>532</v>
      </c>
    </row>
    <row r="1588" spans="1:31" ht="76.5" x14ac:dyDescent="0.2">
      <c r="A1588" s="6" t="str">
        <f>HYPERLINK("http://www.patentics.cn/invokexml.do?sx=showpatent_cn&amp;sf=ShowPatent&amp;spn=CN1423449&amp;sx=showpatent_cn&amp;sv=6d2616122fefe984e97ba572fe94049a","CN1423449")</f>
        <v>CN1423449</v>
      </c>
      <c r="B1588" s="7" t="s">
        <v>8180</v>
      </c>
      <c r="C1588" s="7" t="s">
        <v>8181</v>
      </c>
      <c r="D1588" s="7" t="s">
        <v>4912</v>
      </c>
      <c r="E1588" s="7" t="s">
        <v>4913</v>
      </c>
      <c r="F1588" s="7" t="s">
        <v>4914</v>
      </c>
      <c r="G1588" s="7" t="s">
        <v>4915</v>
      </c>
      <c r="H1588" s="7" t="s">
        <v>8182</v>
      </c>
      <c r="I1588" s="7" t="s">
        <v>8183</v>
      </c>
      <c r="J1588" s="7" t="s">
        <v>8184</v>
      </c>
      <c r="K1588" s="7" t="s">
        <v>68</v>
      </c>
      <c r="L1588" s="7" t="s">
        <v>8014</v>
      </c>
      <c r="M1588" s="7">
        <v>3</v>
      </c>
      <c r="N1588" s="7">
        <v>5</v>
      </c>
      <c r="O1588" s="7" t="s">
        <v>42</v>
      </c>
      <c r="P1588" s="7" t="s">
        <v>58</v>
      </c>
      <c r="Q1588" s="7">
        <v>1</v>
      </c>
      <c r="R1588" s="7">
        <v>1</v>
      </c>
      <c r="S1588" s="7">
        <v>0</v>
      </c>
      <c r="T1588" s="7">
        <v>1</v>
      </c>
      <c r="U1588" s="7">
        <v>2</v>
      </c>
      <c r="V1588" s="7" t="s">
        <v>5775</v>
      </c>
      <c r="W1588" s="7">
        <v>0</v>
      </c>
      <c r="X1588" s="7">
        <v>2</v>
      </c>
      <c r="Y1588" s="7">
        <v>2</v>
      </c>
      <c r="Z1588" s="7">
        <v>1</v>
      </c>
      <c r="AA1588" s="7">
        <v>37</v>
      </c>
      <c r="AB1588" s="7">
        <v>13</v>
      </c>
      <c r="AC1588" s="7" t="s">
        <v>0</v>
      </c>
      <c r="AD1588" s="7">
        <v>1</v>
      </c>
      <c r="AE1588" s="7" t="s">
        <v>60</v>
      </c>
    </row>
    <row r="1589" spans="1:31" ht="76.5" x14ac:dyDescent="0.2">
      <c r="A1589" s="8" t="str">
        <f>HYPERLINK("http://www.patentics.cn/invokexml.do?sx=showpatent_cn&amp;sf=ShowPatent&amp;spn=CN101897141B&amp;sx=showpatent_cn&amp;sv=bc08cb01ae79b5f0b733dad794d875d9","CN101897141B")</f>
        <v>CN101897141B</v>
      </c>
      <c r="B1589" s="9" t="s">
        <v>8185</v>
      </c>
      <c r="C1589" s="9" t="s">
        <v>8186</v>
      </c>
      <c r="D1589" s="9" t="s">
        <v>301</v>
      </c>
      <c r="E1589" s="9" t="s">
        <v>301</v>
      </c>
      <c r="F1589" s="9" t="s">
        <v>8187</v>
      </c>
      <c r="G1589" s="9" t="s">
        <v>8188</v>
      </c>
      <c r="H1589" s="9" t="s">
        <v>2389</v>
      </c>
      <c r="I1589" s="9" t="s">
        <v>8189</v>
      </c>
      <c r="J1589" s="9" t="s">
        <v>7595</v>
      </c>
      <c r="K1589" s="9" t="s">
        <v>68</v>
      </c>
      <c r="L1589" s="9" t="s">
        <v>327</v>
      </c>
      <c r="M1589" s="9">
        <v>20</v>
      </c>
      <c r="N1589" s="9">
        <v>21</v>
      </c>
      <c r="O1589" s="9" t="s">
        <v>57</v>
      </c>
      <c r="P1589" s="9" t="s">
        <v>58</v>
      </c>
      <c r="Q1589" s="9">
        <v>5</v>
      </c>
      <c r="R1589" s="9">
        <v>0</v>
      </c>
      <c r="S1589" s="9">
        <v>5</v>
      </c>
      <c r="T1589" s="9">
        <v>3</v>
      </c>
      <c r="U1589" s="9">
        <v>0</v>
      </c>
      <c r="V1589" s="9" t="s">
        <v>114</v>
      </c>
      <c r="W1589" s="9">
        <v>0</v>
      </c>
      <c r="X1589" s="9">
        <v>0</v>
      </c>
      <c r="Y1589" s="9">
        <v>0</v>
      </c>
      <c r="Z1589" s="9">
        <v>0</v>
      </c>
      <c r="AA1589" s="9">
        <v>0</v>
      </c>
      <c r="AB1589" s="9">
        <v>0</v>
      </c>
      <c r="AC1589" s="9">
        <v>14</v>
      </c>
      <c r="AD1589" s="9" t="s">
        <v>0</v>
      </c>
      <c r="AE1589" s="9" t="s">
        <v>60</v>
      </c>
    </row>
    <row r="1590" spans="1:31" ht="38.25" x14ac:dyDescent="0.2">
      <c r="A1590" s="6" t="str">
        <f>HYPERLINK("http://www.patentics.cn/invokexml.do?sx=showpatent_cn&amp;sf=ShowPatent&amp;spn=CN1414724&amp;sx=showpatent_cn&amp;sv=6c97638f335740d4880023ef01ebe2a9","CN1414724")</f>
        <v>CN1414724</v>
      </c>
      <c r="B1590" s="7" t="s">
        <v>8190</v>
      </c>
      <c r="C1590" s="7" t="s">
        <v>8191</v>
      </c>
      <c r="D1590" s="7" t="s">
        <v>8192</v>
      </c>
      <c r="E1590" s="7" t="s">
        <v>8192</v>
      </c>
      <c r="F1590" s="7" t="s">
        <v>8193</v>
      </c>
      <c r="G1590" s="7" t="s">
        <v>8194</v>
      </c>
      <c r="H1590" s="7" t="s">
        <v>0</v>
      </c>
      <c r="I1590" s="7" t="s">
        <v>8195</v>
      </c>
      <c r="J1590" s="7" t="s">
        <v>610</v>
      </c>
      <c r="K1590" s="7" t="s">
        <v>40</v>
      </c>
      <c r="L1590" s="7" t="s">
        <v>2090</v>
      </c>
      <c r="M1590" s="7">
        <v>4</v>
      </c>
      <c r="N1590" s="7">
        <v>11</v>
      </c>
      <c r="O1590" s="7" t="s">
        <v>42</v>
      </c>
      <c r="P1590" s="7" t="s">
        <v>43</v>
      </c>
      <c r="Q1590" s="7">
        <v>0</v>
      </c>
      <c r="R1590" s="7">
        <v>0</v>
      </c>
      <c r="S1590" s="7">
        <v>0</v>
      </c>
      <c r="T1590" s="7">
        <v>0</v>
      </c>
      <c r="U1590" s="7">
        <v>2</v>
      </c>
      <c r="V1590" s="7" t="s">
        <v>6330</v>
      </c>
      <c r="W1590" s="7">
        <v>0</v>
      </c>
      <c r="X1590" s="7">
        <v>2</v>
      </c>
      <c r="Y1590" s="7">
        <v>2</v>
      </c>
      <c r="Z1590" s="7">
        <v>2</v>
      </c>
      <c r="AA1590" s="7">
        <v>0</v>
      </c>
      <c r="AB1590" s="7">
        <v>0</v>
      </c>
      <c r="AC1590" s="7" t="s">
        <v>0</v>
      </c>
      <c r="AD1590" s="7">
        <v>1</v>
      </c>
      <c r="AE1590" s="7" t="s">
        <v>45</v>
      </c>
    </row>
    <row r="1591" spans="1:31" ht="114.75" x14ac:dyDescent="0.2">
      <c r="A1591" s="8" t="str">
        <f>HYPERLINK("http://www.patentics.cn/invokexml.do?sx=showpatent_cn&amp;sf=ShowPatent&amp;spn=US8982832&amp;sx=showpatent_cn&amp;sv=cc6dc743367456483e93bd107081ee46","US8982832")</f>
        <v>US8982832</v>
      </c>
      <c r="B1591" s="9" t="s">
        <v>8196</v>
      </c>
      <c r="C1591" s="9" t="s">
        <v>8197</v>
      </c>
      <c r="D1591" s="9" t="s">
        <v>48</v>
      </c>
      <c r="E1591" s="9" t="s">
        <v>49</v>
      </c>
      <c r="F1591" s="9" t="s">
        <v>8198</v>
      </c>
      <c r="G1591" s="9" t="s">
        <v>8199</v>
      </c>
      <c r="H1591" s="9" t="s">
        <v>6797</v>
      </c>
      <c r="I1591" s="9" t="s">
        <v>8200</v>
      </c>
      <c r="J1591" s="9" t="s">
        <v>8201</v>
      </c>
      <c r="K1591" s="9" t="s">
        <v>55</v>
      </c>
      <c r="L1591" s="9" t="s">
        <v>56</v>
      </c>
      <c r="M1591" s="9">
        <v>29</v>
      </c>
      <c r="N1591" s="9">
        <v>23</v>
      </c>
      <c r="O1591" s="9" t="s">
        <v>57</v>
      </c>
      <c r="P1591" s="9" t="s">
        <v>58</v>
      </c>
      <c r="Q1591" s="9">
        <v>40</v>
      </c>
      <c r="R1591" s="9">
        <v>10</v>
      </c>
      <c r="S1591" s="9">
        <v>30</v>
      </c>
      <c r="T1591" s="9">
        <v>15</v>
      </c>
      <c r="U1591" s="9">
        <v>0</v>
      </c>
      <c r="V1591" s="9" t="s">
        <v>114</v>
      </c>
      <c r="W1591" s="9">
        <v>0</v>
      </c>
      <c r="X1591" s="9">
        <v>0</v>
      </c>
      <c r="Y1591" s="9">
        <v>0</v>
      </c>
      <c r="Z1591" s="9">
        <v>0</v>
      </c>
      <c r="AA1591" s="9">
        <v>7</v>
      </c>
      <c r="AB1591" s="9">
        <v>6</v>
      </c>
      <c r="AC1591" s="9">
        <v>14</v>
      </c>
      <c r="AD1591" s="9" t="s">
        <v>0</v>
      </c>
      <c r="AE1591" s="9" t="s">
        <v>60</v>
      </c>
    </row>
    <row r="1592" spans="1:31" ht="38.25" x14ac:dyDescent="0.2">
      <c r="A1592" s="6" t="str">
        <f>HYPERLINK("http://www.patentics.cn/invokexml.do?sx=showpatent_cn&amp;sf=ShowPatent&amp;spn=CN1412860&amp;sx=showpatent_cn&amp;sv=bcbf0a358e837e0e3c08846065348fc1","CN1412860")</f>
        <v>CN1412860</v>
      </c>
      <c r="B1592" s="7" t="s">
        <v>8202</v>
      </c>
      <c r="C1592" s="7" t="s">
        <v>8203</v>
      </c>
      <c r="D1592" s="7" t="s">
        <v>1341</v>
      </c>
      <c r="E1592" s="7" t="s">
        <v>1341</v>
      </c>
      <c r="F1592" s="7" t="s">
        <v>8204</v>
      </c>
      <c r="G1592" s="7" t="s">
        <v>8205</v>
      </c>
      <c r="H1592" s="7" t="s">
        <v>8206</v>
      </c>
      <c r="I1592" s="7" t="s">
        <v>8206</v>
      </c>
      <c r="J1592" s="7" t="s">
        <v>8207</v>
      </c>
      <c r="K1592" s="7" t="s">
        <v>773</v>
      </c>
      <c r="L1592" s="7" t="s">
        <v>8208</v>
      </c>
      <c r="M1592" s="7">
        <v>3</v>
      </c>
      <c r="N1592" s="7">
        <v>12</v>
      </c>
      <c r="O1592" s="7" t="s">
        <v>42</v>
      </c>
      <c r="P1592" s="7" t="s">
        <v>43</v>
      </c>
      <c r="Q1592" s="7">
        <v>0</v>
      </c>
      <c r="R1592" s="7">
        <v>0</v>
      </c>
      <c r="S1592" s="7">
        <v>0</v>
      </c>
      <c r="T1592" s="7">
        <v>0</v>
      </c>
      <c r="U1592" s="7">
        <v>2</v>
      </c>
      <c r="V1592" s="7" t="s">
        <v>8209</v>
      </c>
      <c r="W1592" s="7">
        <v>1</v>
      </c>
      <c r="X1592" s="7">
        <v>1</v>
      </c>
      <c r="Y1592" s="7">
        <v>2</v>
      </c>
      <c r="Z1592" s="7">
        <v>1</v>
      </c>
      <c r="AA1592" s="7">
        <v>1</v>
      </c>
      <c r="AB1592" s="7">
        <v>1</v>
      </c>
      <c r="AC1592" s="7" t="s">
        <v>0</v>
      </c>
      <c r="AD1592" s="7">
        <v>1</v>
      </c>
      <c r="AE1592" s="7" t="s">
        <v>532</v>
      </c>
    </row>
    <row r="1593" spans="1:31" ht="51" x14ac:dyDescent="0.2">
      <c r="A1593" s="8" t="str">
        <f>HYPERLINK("http://www.patentics.cn/invokexml.do?sx=showpatent_cn&amp;sf=ShowPatent&amp;spn=CN101809755B&amp;sx=showpatent_cn&amp;sv=2c12406ff7ba3263f8acc678d48866d4","CN101809755B")</f>
        <v>CN101809755B</v>
      </c>
      <c r="B1593" s="9" t="s">
        <v>8210</v>
      </c>
      <c r="C1593" s="9" t="s">
        <v>8211</v>
      </c>
      <c r="D1593" s="9" t="s">
        <v>699</v>
      </c>
      <c r="E1593" s="9" t="s">
        <v>301</v>
      </c>
      <c r="F1593" s="9" t="s">
        <v>8212</v>
      </c>
      <c r="G1593" s="9" t="s">
        <v>8213</v>
      </c>
      <c r="H1593" s="9" t="s">
        <v>8214</v>
      </c>
      <c r="I1593" s="9" t="s">
        <v>4353</v>
      </c>
      <c r="J1593" s="9" t="s">
        <v>5295</v>
      </c>
      <c r="K1593" s="9" t="s">
        <v>773</v>
      </c>
      <c r="L1593" s="9" t="s">
        <v>8208</v>
      </c>
      <c r="M1593" s="9">
        <v>44</v>
      </c>
      <c r="N1593" s="9">
        <v>16</v>
      </c>
      <c r="O1593" s="9" t="s">
        <v>57</v>
      </c>
      <c r="P1593" s="9" t="s">
        <v>58</v>
      </c>
      <c r="Q1593" s="9">
        <v>7</v>
      </c>
      <c r="R1593" s="9">
        <v>0</v>
      </c>
      <c r="S1593" s="9">
        <v>7</v>
      </c>
      <c r="T1593" s="9">
        <v>6</v>
      </c>
      <c r="U1593" s="9">
        <v>0</v>
      </c>
      <c r="V1593" s="9" t="s">
        <v>114</v>
      </c>
      <c r="W1593" s="9">
        <v>0</v>
      </c>
      <c r="X1593" s="9">
        <v>0</v>
      </c>
      <c r="Y1593" s="9">
        <v>0</v>
      </c>
      <c r="Z1593" s="9">
        <v>0</v>
      </c>
      <c r="AA1593" s="9">
        <v>18</v>
      </c>
      <c r="AB1593" s="9">
        <v>10</v>
      </c>
      <c r="AC1593" s="9">
        <v>14</v>
      </c>
      <c r="AD1593" s="9" t="s">
        <v>0</v>
      </c>
      <c r="AE1593" s="9" t="s">
        <v>532</v>
      </c>
    </row>
    <row r="1594" spans="1:31" ht="25.5" x14ac:dyDescent="0.2">
      <c r="A1594" s="6" t="str">
        <f>HYPERLINK("http://www.patentics.cn/invokexml.do?sx=showpatent_cn&amp;sf=ShowPatent&amp;spn=CN1412742&amp;sx=showpatent_cn&amp;sv=ac3147836433e18a0b467aa24f27435b","CN1412742")</f>
        <v>CN1412742</v>
      </c>
      <c r="B1594" s="7" t="s">
        <v>8215</v>
      </c>
      <c r="C1594" s="7" t="s">
        <v>8216</v>
      </c>
      <c r="D1594" s="7" t="s">
        <v>2653</v>
      </c>
      <c r="E1594" s="7" t="s">
        <v>2653</v>
      </c>
      <c r="F1594" s="7" t="s">
        <v>1575</v>
      </c>
      <c r="G1594" s="7" t="s">
        <v>1575</v>
      </c>
      <c r="H1594" s="7" t="s">
        <v>0</v>
      </c>
      <c r="I1594" s="7" t="s">
        <v>4763</v>
      </c>
      <c r="J1594" s="7" t="s">
        <v>8207</v>
      </c>
      <c r="K1594" s="7" t="s">
        <v>1486</v>
      </c>
      <c r="L1594" s="7" t="s">
        <v>1495</v>
      </c>
      <c r="M1594" s="7">
        <v>2</v>
      </c>
      <c r="N1594" s="7">
        <v>82</v>
      </c>
      <c r="O1594" s="7" t="s">
        <v>42</v>
      </c>
      <c r="P1594" s="7" t="s">
        <v>43</v>
      </c>
      <c r="Q1594" s="7">
        <v>0</v>
      </c>
      <c r="R1594" s="7">
        <v>0</v>
      </c>
      <c r="S1594" s="7">
        <v>0</v>
      </c>
      <c r="T1594" s="7">
        <v>0</v>
      </c>
      <c r="U1594" s="7">
        <v>11</v>
      </c>
      <c r="V1594" s="7" t="s">
        <v>5586</v>
      </c>
      <c r="W1594" s="7">
        <v>0</v>
      </c>
      <c r="X1594" s="7">
        <v>11</v>
      </c>
      <c r="Y1594" s="7">
        <v>5</v>
      </c>
      <c r="Z1594" s="7">
        <v>3</v>
      </c>
      <c r="AA1594" s="7">
        <v>0</v>
      </c>
      <c r="AB1594" s="7">
        <v>0</v>
      </c>
      <c r="AC1594" s="7" t="s">
        <v>0</v>
      </c>
      <c r="AD1594" s="7">
        <v>1</v>
      </c>
      <c r="AE1594" s="7" t="s">
        <v>45</v>
      </c>
    </row>
    <row r="1595" spans="1:31" ht="38.25" x14ac:dyDescent="0.2">
      <c r="A1595" s="8" t="str">
        <f>HYPERLINK("http://www.patentics.cn/invokexml.do?sx=showpatent_cn&amp;sf=ShowPatent&amp;spn=CN1810002B&amp;sx=showpatent_cn&amp;sv=34cc26b85b766a6e0ab05739ab15a797","CN1810002B")</f>
        <v>CN1810002B</v>
      </c>
      <c r="B1595" s="9" t="s">
        <v>8217</v>
      </c>
      <c r="C1595" s="9" t="s">
        <v>8218</v>
      </c>
      <c r="D1595" s="9" t="s">
        <v>301</v>
      </c>
      <c r="E1595" s="9" t="s">
        <v>301</v>
      </c>
      <c r="F1595" s="9" t="s">
        <v>8219</v>
      </c>
      <c r="G1595" s="9" t="s">
        <v>8219</v>
      </c>
      <c r="H1595" s="9" t="s">
        <v>8171</v>
      </c>
      <c r="I1595" s="9" t="s">
        <v>8220</v>
      </c>
      <c r="J1595" s="9" t="s">
        <v>1299</v>
      </c>
      <c r="K1595" s="9" t="s">
        <v>68</v>
      </c>
      <c r="L1595" s="9" t="s">
        <v>8221</v>
      </c>
      <c r="M1595" s="9">
        <v>13</v>
      </c>
      <c r="N1595" s="9">
        <v>19</v>
      </c>
      <c r="O1595" s="9" t="s">
        <v>57</v>
      </c>
      <c r="P1595" s="9" t="s">
        <v>58</v>
      </c>
      <c r="Q1595" s="9">
        <v>5</v>
      </c>
      <c r="R1595" s="9">
        <v>0</v>
      </c>
      <c r="S1595" s="9">
        <v>5</v>
      </c>
      <c r="T1595" s="9">
        <v>4</v>
      </c>
      <c r="U1595" s="9">
        <v>0</v>
      </c>
      <c r="V1595" s="9" t="s">
        <v>114</v>
      </c>
      <c r="W1595" s="9">
        <v>0</v>
      </c>
      <c r="X1595" s="9">
        <v>0</v>
      </c>
      <c r="Y1595" s="9">
        <v>0</v>
      </c>
      <c r="Z1595" s="9">
        <v>0</v>
      </c>
      <c r="AA1595" s="9">
        <v>13</v>
      </c>
      <c r="AB1595" s="9">
        <v>8</v>
      </c>
      <c r="AC1595" s="9">
        <v>14</v>
      </c>
      <c r="AD1595" s="9" t="s">
        <v>0</v>
      </c>
      <c r="AE1595" s="9" t="s">
        <v>60</v>
      </c>
    </row>
    <row r="1596" spans="1:31" ht="63.75" x14ac:dyDescent="0.2">
      <c r="A1596" s="6" t="str">
        <f>HYPERLINK("http://www.patentics.cn/invokexml.do?sx=showpatent_cn&amp;sf=ShowPatent&amp;spn=CN1410905&amp;sx=showpatent_cn&amp;sv=2e3fe5cc5bebba6d136d3d239b2c68b7","CN1410905")</f>
        <v>CN1410905</v>
      </c>
      <c r="B1596" s="7" t="s">
        <v>8222</v>
      </c>
      <c r="C1596" s="7" t="s">
        <v>8223</v>
      </c>
      <c r="D1596" s="7" t="s">
        <v>432</v>
      </c>
      <c r="E1596" s="7" t="s">
        <v>432</v>
      </c>
      <c r="F1596" s="7" t="s">
        <v>8224</v>
      </c>
      <c r="G1596" s="7" t="s">
        <v>4627</v>
      </c>
      <c r="H1596" s="7" t="s">
        <v>8225</v>
      </c>
      <c r="I1596" s="7" t="s">
        <v>8225</v>
      </c>
      <c r="J1596" s="7" t="s">
        <v>8226</v>
      </c>
      <c r="K1596" s="7" t="s">
        <v>885</v>
      </c>
      <c r="L1596" s="7" t="s">
        <v>1014</v>
      </c>
      <c r="M1596" s="7">
        <v>3</v>
      </c>
      <c r="N1596" s="7">
        <v>30</v>
      </c>
      <c r="O1596" s="7" t="s">
        <v>42</v>
      </c>
      <c r="P1596" s="7" t="s">
        <v>43</v>
      </c>
      <c r="Q1596" s="7">
        <v>0</v>
      </c>
      <c r="R1596" s="7">
        <v>0</v>
      </c>
      <c r="S1596" s="7">
        <v>0</v>
      </c>
      <c r="T1596" s="7">
        <v>0</v>
      </c>
      <c r="U1596" s="7">
        <v>41</v>
      </c>
      <c r="V1596" s="7" t="s">
        <v>8227</v>
      </c>
      <c r="W1596" s="7">
        <v>0</v>
      </c>
      <c r="X1596" s="7">
        <v>41</v>
      </c>
      <c r="Y1596" s="7">
        <v>9</v>
      </c>
      <c r="Z1596" s="7">
        <v>3</v>
      </c>
      <c r="AA1596" s="7">
        <v>1</v>
      </c>
      <c r="AB1596" s="7">
        <v>1</v>
      </c>
      <c r="AC1596" s="7" t="s">
        <v>0</v>
      </c>
      <c r="AD1596" s="7">
        <v>1</v>
      </c>
      <c r="AE1596" s="7" t="s">
        <v>532</v>
      </c>
    </row>
    <row r="1597" spans="1:31" ht="102" x14ac:dyDescent="0.2">
      <c r="A1597" s="8" t="str">
        <f>HYPERLINK("http://www.patentics.cn/invokexml.do?sx=showpatent_cn&amp;sf=ShowPatent&amp;spn=US9253092&amp;sx=showpatent_cn&amp;sv=fe1b49a90d99a8d9db3d5d168fa87966","US9253092")</f>
        <v>US9253092</v>
      </c>
      <c r="B1597" s="9" t="s">
        <v>8228</v>
      </c>
      <c r="C1597" s="9" t="s">
        <v>8229</v>
      </c>
      <c r="D1597" s="9" t="s">
        <v>48</v>
      </c>
      <c r="E1597" s="9" t="s">
        <v>49</v>
      </c>
      <c r="F1597" s="9" t="s">
        <v>8230</v>
      </c>
      <c r="G1597" s="9" t="s">
        <v>8231</v>
      </c>
      <c r="H1597" s="9" t="s">
        <v>7305</v>
      </c>
      <c r="I1597" s="9" t="s">
        <v>7300</v>
      </c>
      <c r="J1597" s="9" t="s">
        <v>495</v>
      </c>
      <c r="K1597" s="9" t="s">
        <v>68</v>
      </c>
      <c r="L1597" s="9" t="s">
        <v>245</v>
      </c>
      <c r="M1597" s="9">
        <v>39</v>
      </c>
      <c r="N1597" s="9">
        <v>9</v>
      </c>
      <c r="O1597" s="9" t="s">
        <v>57</v>
      </c>
      <c r="P1597" s="9" t="s">
        <v>58</v>
      </c>
      <c r="Q1597" s="9">
        <v>54</v>
      </c>
      <c r="R1597" s="9">
        <v>9</v>
      </c>
      <c r="S1597" s="9">
        <v>45</v>
      </c>
      <c r="T1597" s="9">
        <v>23</v>
      </c>
      <c r="U1597" s="9">
        <v>0</v>
      </c>
      <c r="V1597" s="9" t="s">
        <v>114</v>
      </c>
      <c r="W1597" s="9">
        <v>0</v>
      </c>
      <c r="X1597" s="9">
        <v>0</v>
      </c>
      <c r="Y1597" s="9">
        <v>0</v>
      </c>
      <c r="Z1597" s="9">
        <v>0</v>
      </c>
      <c r="AA1597" s="9">
        <v>46</v>
      </c>
      <c r="AB1597" s="9">
        <v>13</v>
      </c>
      <c r="AC1597" s="9">
        <v>14</v>
      </c>
      <c r="AD1597" s="9" t="s">
        <v>0</v>
      </c>
      <c r="AE1597" s="9" t="s">
        <v>60</v>
      </c>
    </row>
    <row r="1598" spans="1:31" ht="25.5" x14ac:dyDescent="0.2">
      <c r="A1598" s="6" t="str">
        <f>HYPERLINK("http://www.patentics.cn/invokexml.do?sx=showpatent_cn&amp;sf=ShowPatent&amp;spn=CN1407801&amp;sx=showpatent_cn&amp;sv=6706a43d4e496c489160237525d2308d","CN1407801")</f>
        <v>CN1407801</v>
      </c>
      <c r="B1598" s="7" t="s">
        <v>8232</v>
      </c>
      <c r="C1598" s="7" t="s">
        <v>8233</v>
      </c>
      <c r="D1598" s="7" t="s">
        <v>35</v>
      </c>
      <c r="E1598" s="7" t="s">
        <v>35</v>
      </c>
      <c r="F1598" s="7" t="s">
        <v>7779</v>
      </c>
      <c r="G1598" s="7" t="s">
        <v>7779</v>
      </c>
      <c r="H1598" s="7" t="s">
        <v>8234</v>
      </c>
      <c r="I1598" s="7" t="s">
        <v>8234</v>
      </c>
      <c r="J1598" s="7" t="s">
        <v>4782</v>
      </c>
      <c r="K1598" s="7" t="s">
        <v>714</v>
      </c>
      <c r="L1598" s="7" t="s">
        <v>4803</v>
      </c>
      <c r="M1598" s="7">
        <v>20</v>
      </c>
      <c r="N1598" s="7">
        <v>38</v>
      </c>
      <c r="O1598" s="7" t="s">
        <v>42</v>
      </c>
      <c r="P1598" s="7" t="s">
        <v>43</v>
      </c>
      <c r="Q1598" s="7">
        <v>1</v>
      </c>
      <c r="R1598" s="7">
        <v>0</v>
      </c>
      <c r="S1598" s="7">
        <v>1</v>
      </c>
      <c r="T1598" s="7">
        <v>1</v>
      </c>
      <c r="U1598" s="7">
        <v>10</v>
      </c>
      <c r="V1598" s="7" t="s">
        <v>8235</v>
      </c>
      <c r="W1598" s="7">
        <v>0</v>
      </c>
      <c r="X1598" s="7">
        <v>10</v>
      </c>
      <c r="Y1598" s="7">
        <v>8</v>
      </c>
      <c r="Z1598" s="7">
        <v>1</v>
      </c>
      <c r="AA1598" s="7">
        <v>1</v>
      </c>
      <c r="AB1598" s="7">
        <v>1</v>
      </c>
      <c r="AC1598" s="7" t="s">
        <v>0</v>
      </c>
      <c r="AD1598" s="7">
        <v>1</v>
      </c>
      <c r="AE1598" s="7" t="s">
        <v>532</v>
      </c>
    </row>
    <row r="1599" spans="1:31" ht="51" x14ac:dyDescent="0.2">
      <c r="A1599" s="8" t="str">
        <f>HYPERLINK("http://www.patentics.cn/invokexml.do?sx=showpatent_cn&amp;sf=ShowPatent&amp;spn=CN101889250B&amp;sx=showpatent_cn&amp;sv=fbe02b875ef737b82023bf0971a4fdf3","CN101889250B")</f>
        <v>CN101889250B</v>
      </c>
      <c r="B1599" s="9" t="s">
        <v>8236</v>
      </c>
      <c r="C1599" s="9" t="s">
        <v>8237</v>
      </c>
      <c r="D1599" s="9" t="s">
        <v>301</v>
      </c>
      <c r="E1599" s="9" t="s">
        <v>301</v>
      </c>
      <c r="F1599" s="9" t="s">
        <v>8238</v>
      </c>
      <c r="G1599" s="9" t="s">
        <v>8239</v>
      </c>
      <c r="H1599" s="9" t="s">
        <v>7320</v>
      </c>
      <c r="I1599" s="9" t="s">
        <v>8240</v>
      </c>
      <c r="J1599" s="9" t="s">
        <v>5277</v>
      </c>
      <c r="K1599" s="9" t="s">
        <v>40</v>
      </c>
      <c r="L1599" s="9" t="s">
        <v>3475</v>
      </c>
      <c r="M1599" s="9">
        <v>7</v>
      </c>
      <c r="N1599" s="9">
        <v>12</v>
      </c>
      <c r="O1599" s="9" t="s">
        <v>57</v>
      </c>
      <c r="P1599" s="9" t="s">
        <v>58</v>
      </c>
      <c r="Q1599" s="9">
        <v>6</v>
      </c>
      <c r="R1599" s="9">
        <v>0</v>
      </c>
      <c r="S1599" s="9">
        <v>6</v>
      </c>
      <c r="T1599" s="9">
        <v>5</v>
      </c>
      <c r="U1599" s="9">
        <v>0</v>
      </c>
      <c r="V1599" s="9" t="s">
        <v>114</v>
      </c>
      <c r="W1599" s="9">
        <v>0</v>
      </c>
      <c r="X1599" s="9">
        <v>0</v>
      </c>
      <c r="Y1599" s="9">
        <v>0</v>
      </c>
      <c r="Z1599" s="9">
        <v>0</v>
      </c>
      <c r="AA1599" s="9">
        <v>7</v>
      </c>
      <c r="AB1599" s="9">
        <v>5</v>
      </c>
      <c r="AC1599" s="9">
        <v>14</v>
      </c>
      <c r="AD1599" s="9" t="s">
        <v>0</v>
      </c>
      <c r="AE1599" s="9" t="s">
        <v>532</v>
      </c>
    </row>
    <row r="1600" spans="1:31" ht="38.25" x14ac:dyDescent="0.2">
      <c r="A1600" s="6" t="str">
        <f>HYPERLINK("http://www.patentics.cn/invokexml.do?sx=showpatent_cn&amp;sf=ShowPatent&amp;spn=CN1405981&amp;sx=showpatent_cn&amp;sv=86eb5512a8837a62028fe804caf0a477","CN1405981")</f>
        <v>CN1405981</v>
      </c>
      <c r="B1600" s="7" t="s">
        <v>8241</v>
      </c>
      <c r="C1600" s="7" t="s">
        <v>8242</v>
      </c>
      <c r="D1600" s="7" t="s">
        <v>1383</v>
      </c>
      <c r="E1600" s="7" t="s">
        <v>1383</v>
      </c>
      <c r="F1600" s="7" t="s">
        <v>3059</v>
      </c>
      <c r="G1600" s="7" t="s">
        <v>3060</v>
      </c>
      <c r="H1600" s="7" t="s">
        <v>8243</v>
      </c>
      <c r="I1600" s="7" t="s">
        <v>8243</v>
      </c>
      <c r="J1600" s="7" t="s">
        <v>8244</v>
      </c>
      <c r="K1600" s="7" t="s">
        <v>1529</v>
      </c>
      <c r="L1600" s="7" t="s">
        <v>8245</v>
      </c>
      <c r="M1600" s="7">
        <v>1</v>
      </c>
      <c r="N1600" s="7">
        <v>49</v>
      </c>
      <c r="O1600" s="7" t="s">
        <v>42</v>
      </c>
      <c r="P1600" s="7" t="s">
        <v>43</v>
      </c>
      <c r="Q1600" s="7">
        <v>0</v>
      </c>
      <c r="R1600" s="7">
        <v>0</v>
      </c>
      <c r="S1600" s="7">
        <v>0</v>
      </c>
      <c r="T1600" s="7">
        <v>0</v>
      </c>
      <c r="U1600" s="7">
        <v>31</v>
      </c>
      <c r="V1600" s="7" t="s">
        <v>8246</v>
      </c>
      <c r="W1600" s="7">
        <v>4</v>
      </c>
      <c r="X1600" s="7">
        <v>27</v>
      </c>
      <c r="Y1600" s="7">
        <v>16</v>
      </c>
      <c r="Z1600" s="7">
        <v>3</v>
      </c>
      <c r="AA1600" s="7">
        <v>1</v>
      </c>
      <c r="AB1600" s="7">
        <v>1</v>
      </c>
      <c r="AC1600" s="7" t="s">
        <v>0</v>
      </c>
      <c r="AD1600" s="7">
        <v>1</v>
      </c>
      <c r="AE1600" s="7" t="s">
        <v>60</v>
      </c>
    </row>
    <row r="1601" spans="1:31" ht="25.5" x14ac:dyDescent="0.2">
      <c r="A1601" s="8" t="str">
        <f>HYPERLINK("http://www.patentics.cn/invokexml.do?sx=showpatent_cn&amp;sf=ShowPatent&amp;spn=CN1954502B&amp;sx=showpatent_cn&amp;sv=6f9628a3c0e6776057ba486c67bb72ce","CN1954502B")</f>
        <v>CN1954502B</v>
      </c>
      <c r="B1601" s="9" t="s">
        <v>8247</v>
      </c>
      <c r="C1601" s="9" t="s">
        <v>8248</v>
      </c>
      <c r="D1601" s="9" t="s">
        <v>301</v>
      </c>
      <c r="E1601" s="9" t="s">
        <v>301</v>
      </c>
      <c r="F1601" s="9" t="s">
        <v>8249</v>
      </c>
      <c r="G1601" s="9" t="s">
        <v>8249</v>
      </c>
      <c r="H1601" s="9" t="s">
        <v>8250</v>
      </c>
      <c r="I1601" s="9" t="s">
        <v>4534</v>
      </c>
      <c r="J1601" s="9" t="s">
        <v>8251</v>
      </c>
      <c r="K1601" s="9" t="s">
        <v>1529</v>
      </c>
      <c r="L1601" s="9" t="s">
        <v>8245</v>
      </c>
      <c r="M1601" s="9">
        <v>40</v>
      </c>
      <c r="N1601" s="9">
        <v>24</v>
      </c>
      <c r="O1601" s="9" t="s">
        <v>57</v>
      </c>
      <c r="P1601" s="9" t="s">
        <v>58</v>
      </c>
      <c r="Q1601" s="9">
        <v>3</v>
      </c>
      <c r="R1601" s="9">
        <v>0</v>
      </c>
      <c r="S1601" s="9">
        <v>3</v>
      </c>
      <c r="T1601" s="9">
        <v>3</v>
      </c>
      <c r="U1601" s="9">
        <v>0</v>
      </c>
      <c r="V1601" s="9" t="s">
        <v>114</v>
      </c>
      <c r="W1601" s="9">
        <v>0</v>
      </c>
      <c r="X1601" s="9">
        <v>0</v>
      </c>
      <c r="Y1601" s="9">
        <v>0</v>
      </c>
      <c r="Z1601" s="9">
        <v>0</v>
      </c>
      <c r="AA1601" s="9">
        <v>16</v>
      </c>
      <c r="AB1601" s="9">
        <v>7</v>
      </c>
      <c r="AC1601" s="9">
        <v>14</v>
      </c>
      <c r="AD1601" s="9" t="s">
        <v>0</v>
      </c>
      <c r="AE1601" s="9" t="s">
        <v>60</v>
      </c>
    </row>
    <row r="1602" spans="1:31" ht="51" x14ac:dyDescent="0.2">
      <c r="A1602" s="6" t="str">
        <f>HYPERLINK("http://www.patentics.cn/invokexml.do?sx=showpatent_cn&amp;sf=ShowPatent&amp;spn=CN1405735&amp;sx=showpatent_cn&amp;sv=7f5333430c9a1008131d5adc571d5f9a","CN1405735")</f>
        <v>CN1405735</v>
      </c>
      <c r="B1602" s="7" t="s">
        <v>8252</v>
      </c>
      <c r="C1602" s="7" t="s">
        <v>8253</v>
      </c>
      <c r="D1602" s="7" t="s">
        <v>2653</v>
      </c>
      <c r="E1602" s="7" t="s">
        <v>2653</v>
      </c>
      <c r="F1602" s="7" t="s">
        <v>8254</v>
      </c>
      <c r="G1602" s="7" t="s">
        <v>8255</v>
      </c>
      <c r="H1602" s="7" t="s">
        <v>8256</v>
      </c>
      <c r="I1602" s="7" t="s">
        <v>8256</v>
      </c>
      <c r="J1602" s="7" t="s">
        <v>8244</v>
      </c>
      <c r="K1602" s="7" t="s">
        <v>2163</v>
      </c>
      <c r="L1602" s="7" t="s">
        <v>3943</v>
      </c>
      <c r="M1602" s="7">
        <v>2</v>
      </c>
      <c r="N1602" s="7">
        <v>114</v>
      </c>
      <c r="O1602" s="7" t="s">
        <v>42</v>
      </c>
      <c r="P1602" s="7" t="s">
        <v>43</v>
      </c>
      <c r="Q1602" s="7">
        <v>0</v>
      </c>
      <c r="R1602" s="7">
        <v>0</v>
      </c>
      <c r="S1602" s="7">
        <v>0</v>
      </c>
      <c r="T1602" s="7">
        <v>0</v>
      </c>
      <c r="U1602" s="7">
        <v>12</v>
      </c>
      <c r="V1602" s="7" t="s">
        <v>8257</v>
      </c>
      <c r="W1602" s="7">
        <v>0</v>
      </c>
      <c r="X1602" s="7">
        <v>12</v>
      </c>
      <c r="Y1602" s="7">
        <v>9</v>
      </c>
      <c r="Z1602" s="7">
        <v>2</v>
      </c>
      <c r="AA1602" s="7">
        <v>1</v>
      </c>
      <c r="AB1602" s="7">
        <v>1</v>
      </c>
      <c r="AC1602" s="7" t="s">
        <v>0</v>
      </c>
      <c r="AD1602" s="7">
        <v>1</v>
      </c>
      <c r="AE1602" s="7" t="s">
        <v>532</v>
      </c>
    </row>
    <row r="1603" spans="1:31" ht="51" x14ac:dyDescent="0.2">
      <c r="A1603" s="8" t="str">
        <f>HYPERLINK("http://www.patentics.cn/invokexml.do?sx=showpatent_cn&amp;sf=ShowPatent&amp;spn=CN1981535B&amp;sx=showpatent_cn&amp;sv=76c526fddafe1a4a147630be2bd3d656","CN1981535B")</f>
        <v>CN1981535B</v>
      </c>
      <c r="B1603" s="9" t="s">
        <v>8258</v>
      </c>
      <c r="C1603" s="9" t="s">
        <v>8259</v>
      </c>
      <c r="D1603" s="9" t="s">
        <v>301</v>
      </c>
      <c r="E1603" s="9" t="s">
        <v>301</v>
      </c>
      <c r="F1603" s="9" t="s">
        <v>8260</v>
      </c>
      <c r="G1603" s="9" t="s">
        <v>8261</v>
      </c>
      <c r="H1603" s="9" t="s">
        <v>8262</v>
      </c>
      <c r="I1603" s="9" t="s">
        <v>8263</v>
      </c>
      <c r="J1603" s="9" t="s">
        <v>1546</v>
      </c>
      <c r="K1603" s="9" t="s">
        <v>714</v>
      </c>
      <c r="L1603" s="9" t="s">
        <v>7142</v>
      </c>
      <c r="M1603" s="9">
        <v>49</v>
      </c>
      <c r="N1603" s="9">
        <v>27</v>
      </c>
      <c r="O1603" s="9" t="s">
        <v>57</v>
      </c>
      <c r="P1603" s="9" t="s">
        <v>58</v>
      </c>
      <c r="Q1603" s="9">
        <v>3</v>
      </c>
      <c r="R1603" s="9">
        <v>0</v>
      </c>
      <c r="S1603" s="9">
        <v>3</v>
      </c>
      <c r="T1603" s="9">
        <v>3</v>
      </c>
      <c r="U1603" s="9">
        <v>0</v>
      </c>
      <c r="V1603" s="9" t="s">
        <v>114</v>
      </c>
      <c r="W1603" s="9">
        <v>0</v>
      </c>
      <c r="X1603" s="9">
        <v>0</v>
      </c>
      <c r="Y1603" s="9">
        <v>0</v>
      </c>
      <c r="Z1603" s="9">
        <v>0</v>
      </c>
      <c r="AA1603" s="9">
        <v>13</v>
      </c>
      <c r="AB1603" s="9">
        <v>8</v>
      </c>
      <c r="AC1603" s="9">
        <v>14</v>
      </c>
      <c r="AD1603" s="9" t="s">
        <v>0</v>
      </c>
      <c r="AE1603" s="9" t="s">
        <v>532</v>
      </c>
    </row>
    <row r="1604" spans="1:31" ht="25.5" x14ac:dyDescent="0.2">
      <c r="A1604" s="6" t="str">
        <f>HYPERLINK("http://www.patentics.cn/invokexml.do?sx=showpatent_cn&amp;sf=ShowPatent&amp;spn=CN1404019&amp;sx=showpatent_cn&amp;sv=d49262a6090161787cfaea47dd5e9125","CN1404019")</f>
        <v>CN1404019</v>
      </c>
      <c r="B1604" s="7" t="s">
        <v>8264</v>
      </c>
      <c r="C1604" s="7" t="s">
        <v>8265</v>
      </c>
      <c r="D1604" s="7" t="s">
        <v>932</v>
      </c>
      <c r="E1604" s="7" t="s">
        <v>932</v>
      </c>
      <c r="F1604" s="7" t="s">
        <v>8266</v>
      </c>
      <c r="G1604" s="7" t="s">
        <v>8267</v>
      </c>
      <c r="H1604" s="7" t="s">
        <v>8268</v>
      </c>
      <c r="I1604" s="7" t="s">
        <v>8268</v>
      </c>
      <c r="J1604" s="7" t="s">
        <v>4802</v>
      </c>
      <c r="K1604" s="7" t="s">
        <v>2163</v>
      </c>
      <c r="L1604" s="7" t="s">
        <v>8269</v>
      </c>
      <c r="M1604" s="7">
        <v>15</v>
      </c>
      <c r="N1604" s="7">
        <v>49</v>
      </c>
      <c r="O1604" s="7" t="s">
        <v>42</v>
      </c>
      <c r="P1604" s="7" t="s">
        <v>43</v>
      </c>
      <c r="Q1604" s="7">
        <v>0</v>
      </c>
      <c r="R1604" s="7">
        <v>0</v>
      </c>
      <c r="S1604" s="7">
        <v>0</v>
      </c>
      <c r="T1604" s="7">
        <v>0</v>
      </c>
      <c r="U1604" s="7">
        <v>7</v>
      </c>
      <c r="V1604" s="7" t="s">
        <v>8270</v>
      </c>
      <c r="W1604" s="7">
        <v>3</v>
      </c>
      <c r="X1604" s="7">
        <v>4</v>
      </c>
      <c r="Y1604" s="7">
        <v>4</v>
      </c>
      <c r="Z1604" s="7">
        <v>2</v>
      </c>
      <c r="AA1604" s="7">
        <v>1</v>
      </c>
      <c r="AB1604" s="7">
        <v>1</v>
      </c>
      <c r="AC1604" s="7" t="s">
        <v>0</v>
      </c>
      <c r="AD1604" s="7">
        <v>1</v>
      </c>
      <c r="AE1604" s="7" t="s">
        <v>532</v>
      </c>
    </row>
    <row r="1605" spans="1:31" ht="89.25" x14ac:dyDescent="0.2">
      <c r="A1605" s="8" t="str">
        <f>HYPERLINK("http://www.patentics.cn/invokexml.do?sx=showpatent_cn&amp;sf=ShowPatent&amp;spn=US9727996&amp;sx=showpatent_cn&amp;sv=024aa68e45b41c04d05e99e51086e325","US9727996")</f>
        <v>US9727996</v>
      </c>
      <c r="B1605" s="9" t="s">
        <v>8271</v>
      </c>
      <c r="C1605" s="9" t="s">
        <v>8272</v>
      </c>
      <c r="D1605" s="9" t="s">
        <v>48</v>
      </c>
      <c r="E1605" s="9" t="s">
        <v>49</v>
      </c>
      <c r="F1605" s="9" t="s">
        <v>8273</v>
      </c>
      <c r="G1605" s="9" t="s">
        <v>8274</v>
      </c>
      <c r="H1605" s="9" t="s">
        <v>6495</v>
      </c>
      <c r="I1605" s="9" t="s">
        <v>8275</v>
      </c>
      <c r="J1605" s="9" t="s">
        <v>6835</v>
      </c>
      <c r="K1605" s="9" t="s">
        <v>2163</v>
      </c>
      <c r="L1605" s="9" t="s">
        <v>8276</v>
      </c>
      <c r="M1605" s="9">
        <v>25</v>
      </c>
      <c r="N1605" s="9">
        <v>9</v>
      </c>
      <c r="O1605" s="9" t="s">
        <v>57</v>
      </c>
      <c r="P1605" s="9" t="s">
        <v>58</v>
      </c>
      <c r="Q1605" s="9">
        <v>25</v>
      </c>
      <c r="R1605" s="9">
        <v>3</v>
      </c>
      <c r="S1605" s="9">
        <v>22</v>
      </c>
      <c r="T1605" s="9">
        <v>14</v>
      </c>
      <c r="U1605" s="9">
        <v>0</v>
      </c>
      <c r="V1605" s="9" t="s">
        <v>114</v>
      </c>
      <c r="W1605" s="9">
        <v>0</v>
      </c>
      <c r="X1605" s="9">
        <v>0</v>
      </c>
      <c r="Y1605" s="9">
        <v>0</v>
      </c>
      <c r="Z1605" s="9">
        <v>0</v>
      </c>
      <c r="AA1605" s="9">
        <v>18</v>
      </c>
      <c r="AB1605" s="9">
        <v>6</v>
      </c>
      <c r="AC1605" s="9">
        <v>14</v>
      </c>
      <c r="AD1605" s="9" t="s">
        <v>0</v>
      </c>
      <c r="AE1605" s="9" t="s">
        <v>60</v>
      </c>
    </row>
    <row r="1606" spans="1:31" ht="38.25" x14ac:dyDescent="0.2">
      <c r="A1606" s="6" t="str">
        <f>HYPERLINK("http://www.patentics.cn/invokexml.do?sx=showpatent_cn&amp;sf=ShowPatent&amp;spn=CN1402546&amp;sx=showpatent_cn&amp;sv=a3aca98ee67343bd081a80671c708103","CN1402546")</f>
        <v>CN1402546</v>
      </c>
      <c r="B1606" s="7" t="s">
        <v>8277</v>
      </c>
      <c r="C1606" s="7" t="s">
        <v>8278</v>
      </c>
      <c r="D1606" s="7" t="s">
        <v>1383</v>
      </c>
      <c r="E1606" s="7" t="s">
        <v>1383</v>
      </c>
      <c r="F1606" s="7" t="s">
        <v>8279</v>
      </c>
      <c r="G1606" s="7" t="s">
        <v>4933</v>
      </c>
      <c r="H1606" s="7" t="s">
        <v>4839</v>
      </c>
      <c r="I1606" s="7" t="s">
        <v>4839</v>
      </c>
      <c r="J1606" s="7" t="s">
        <v>4840</v>
      </c>
      <c r="K1606" s="7" t="s">
        <v>714</v>
      </c>
      <c r="L1606" s="7" t="s">
        <v>4803</v>
      </c>
      <c r="M1606" s="7">
        <v>5</v>
      </c>
      <c r="N1606" s="7">
        <v>25</v>
      </c>
      <c r="O1606" s="7" t="s">
        <v>42</v>
      </c>
      <c r="P1606" s="7" t="s">
        <v>43</v>
      </c>
      <c r="Q1606" s="7">
        <v>2</v>
      </c>
      <c r="R1606" s="7">
        <v>2</v>
      </c>
      <c r="S1606" s="7">
        <v>0</v>
      </c>
      <c r="T1606" s="7">
        <v>1</v>
      </c>
      <c r="U1606" s="7">
        <v>8</v>
      </c>
      <c r="V1606" s="7" t="s">
        <v>8280</v>
      </c>
      <c r="W1606" s="7">
        <v>0</v>
      </c>
      <c r="X1606" s="7">
        <v>8</v>
      </c>
      <c r="Y1606" s="7">
        <v>5</v>
      </c>
      <c r="Z1606" s="7">
        <v>3</v>
      </c>
      <c r="AA1606" s="7">
        <v>1</v>
      </c>
      <c r="AB1606" s="7">
        <v>1</v>
      </c>
      <c r="AC1606" s="7" t="s">
        <v>0</v>
      </c>
      <c r="AD1606" s="7">
        <v>1</v>
      </c>
      <c r="AE1606" s="7" t="s">
        <v>60</v>
      </c>
    </row>
    <row r="1607" spans="1:31" ht="25.5" x14ac:dyDescent="0.2">
      <c r="A1607" s="8" t="str">
        <f>HYPERLINK("http://www.patentics.cn/invokexml.do?sx=showpatent_cn&amp;sf=ShowPatent&amp;spn=CN101406092B&amp;sx=showpatent_cn&amp;sv=cdfdb724f227a2cee23dccfeb1e42b3d","CN101406092B")</f>
        <v>CN101406092B</v>
      </c>
      <c r="B1607" s="9" t="s">
        <v>8136</v>
      </c>
      <c r="C1607" s="9" t="s">
        <v>8137</v>
      </c>
      <c r="D1607" s="9" t="s">
        <v>301</v>
      </c>
      <c r="E1607" s="9" t="s">
        <v>301</v>
      </c>
      <c r="F1607" s="9" t="s">
        <v>8138</v>
      </c>
      <c r="G1607" s="9" t="s">
        <v>8138</v>
      </c>
      <c r="H1607" s="9" t="s">
        <v>8139</v>
      </c>
      <c r="I1607" s="9" t="s">
        <v>8140</v>
      </c>
      <c r="J1607" s="9" t="s">
        <v>8141</v>
      </c>
      <c r="K1607" s="9" t="s">
        <v>55</v>
      </c>
      <c r="L1607" s="9" t="s">
        <v>5171</v>
      </c>
      <c r="M1607" s="9">
        <v>30</v>
      </c>
      <c r="N1607" s="9">
        <v>6</v>
      </c>
      <c r="O1607" s="9" t="s">
        <v>57</v>
      </c>
      <c r="P1607" s="9" t="s">
        <v>58</v>
      </c>
      <c r="Q1607" s="9">
        <v>4</v>
      </c>
      <c r="R1607" s="9">
        <v>0</v>
      </c>
      <c r="S1607" s="9">
        <v>4</v>
      </c>
      <c r="T1607" s="9">
        <v>3</v>
      </c>
      <c r="U1607" s="9">
        <v>0</v>
      </c>
      <c r="V1607" s="9" t="s">
        <v>114</v>
      </c>
      <c r="W1607" s="9">
        <v>0</v>
      </c>
      <c r="X1607" s="9">
        <v>0</v>
      </c>
      <c r="Y1607" s="9">
        <v>0</v>
      </c>
      <c r="Z1607" s="9">
        <v>0</v>
      </c>
      <c r="AA1607" s="9">
        <v>49</v>
      </c>
      <c r="AB1607" s="9">
        <v>19</v>
      </c>
      <c r="AC1607" s="9">
        <v>14</v>
      </c>
      <c r="AD1607" s="9" t="s">
        <v>0</v>
      </c>
      <c r="AE1607" s="9" t="s">
        <v>60</v>
      </c>
    </row>
    <row r="1608" spans="1:31" ht="51" x14ac:dyDescent="0.2">
      <c r="A1608" s="6" t="str">
        <f>HYPERLINK("http://www.patentics.cn/invokexml.do?sx=showpatent_cn&amp;sf=ShowPatent&amp;spn=CN1398118&amp;sx=showpatent_cn&amp;sv=267ac8a134a2c7bb31a5e57a17659e9c","CN1398118")</f>
        <v>CN1398118</v>
      </c>
      <c r="B1608" s="7" t="s">
        <v>8281</v>
      </c>
      <c r="C1608" s="7" t="s">
        <v>8282</v>
      </c>
      <c r="D1608" s="7" t="s">
        <v>1383</v>
      </c>
      <c r="E1608" s="7" t="s">
        <v>1383</v>
      </c>
      <c r="F1608" s="7" t="s">
        <v>8283</v>
      </c>
      <c r="G1608" s="7" t="s">
        <v>4933</v>
      </c>
      <c r="H1608" s="7" t="s">
        <v>8284</v>
      </c>
      <c r="I1608" s="7" t="s">
        <v>8284</v>
      </c>
      <c r="J1608" s="7" t="s">
        <v>8285</v>
      </c>
      <c r="K1608" s="7" t="s">
        <v>714</v>
      </c>
      <c r="L1608" s="7" t="s">
        <v>4803</v>
      </c>
      <c r="M1608" s="7">
        <v>8</v>
      </c>
      <c r="N1608" s="7">
        <v>90</v>
      </c>
      <c r="O1608" s="7" t="s">
        <v>42</v>
      </c>
      <c r="P1608" s="7" t="s">
        <v>43</v>
      </c>
      <c r="Q1608" s="7">
        <v>2</v>
      </c>
      <c r="R1608" s="7">
        <v>2</v>
      </c>
      <c r="S1608" s="7">
        <v>0</v>
      </c>
      <c r="T1608" s="7">
        <v>1</v>
      </c>
      <c r="U1608" s="7">
        <v>38</v>
      </c>
      <c r="V1608" s="7" t="s">
        <v>8286</v>
      </c>
      <c r="W1608" s="7">
        <v>2</v>
      </c>
      <c r="X1608" s="7">
        <v>36</v>
      </c>
      <c r="Y1608" s="7">
        <v>25</v>
      </c>
      <c r="Z1608" s="7">
        <v>2</v>
      </c>
      <c r="AA1608" s="7">
        <v>1</v>
      </c>
      <c r="AB1608" s="7">
        <v>1</v>
      </c>
      <c r="AC1608" s="7" t="s">
        <v>0</v>
      </c>
      <c r="AD1608" s="7">
        <v>1</v>
      </c>
      <c r="AE1608" s="7" t="s">
        <v>532</v>
      </c>
    </row>
    <row r="1609" spans="1:31" ht="63.75" x14ac:dyDescent="0.2">
      <c r="A1609" s="8" t="str">
        <f>HYPERLINK("http://www.patentics.cn/invokexml.do?sx=showpatent_cn&amp;sf=ShowPatent&amp;spn=CN101160893B&amp;sx=showpatent_cn&amp;sv=ec6197108ec0ab5e2a24186d3df74a06","CN101160893B")</f>
        <v>CN101160893B</v>
      </c>
      <c r="B1609" s="9" t="s">
        <v>8287</v>
      </c>
      <c r="C1609" s="9" t="s">
        <v>8288</v>
      </c>
      <c r="D1609" s="9" t="s">
        <v>301</v>
      </c>
      <c r="E1609" s="9" t="s">
        <v>301</v>
      </c>
      <c r="F1609" s="9" t="s">
        <v>8125</v>
      </c>
      <c r="G1609" s="9" t="s">
        <v>8126</v>
      </c>
      <c r="H1609" s="9" t="s">
        <v>261</v>
      </c>
      <c r="I1609" s="9" t="s">
        <v>8127</v>
      </c>
      <c r="J1609" s="9" t="s">
        <v>2868</v>
      </c>
      <c r="K1609" s="9" t="s">
        <v>68</v>
      </c>
      <c r="L1609" s="9" t="s">
        <v>281</v>
      </c>
      <c r="M1609" s="9">
        <v>25</v>
      </c>
      <c r="N1609" s="9">
        <v>19</v>
      </c>
      <c r="O1609" s="9" t="s">
        <v>57</v>
      </c>
      <c r="P1609" s="9" t="s">
        <v>58</v>
      </c>
      <c r="Q1609" s="9">
        <v>5</v>
      </c>
      <c r="R1609" s="9">
        <v>1</v>
      </c>
      <c r="S1609" s="9">
        <v>4</v>
      </c>
      <c r="T1609" s="9">
        <v>5</v>
      </c>
      <c r="U1609" s="9">
        <v>0</v>
      </c>
      <c r="V1609" s="9" t="s">
        <v>114</v>
      </c>
      <c r="W1609" s="9">
        <v>0</v>
      </c>
      <c r="X1609" s="9">
        <v>0</v>
      </c>
      <c r="Y1609" s="9">
        <v>0</v>
      </c>
      <c r="Z1609" s="9">
        <v>0</v>
      </c>
      <c r="AA1609" s="9">
        <v>38</v>
      </c>
      <c r="AB1609" s="9">
        <v>9</v>
      </c>
      <c r="AC1609" s="9">
        <v>14</v>
      </c>
      <c r="AD1609" s="9" t="s">
        <v>0</v>
      </c>
      <c r="AE1609" s="9" t="s">
        <v>60</v>
      </c>
    </row>
    <row r="1610" spans="1:31" ht="25.5" x14ac:dyDescent="0.2">
      <c r="A1610" s="6" t="str">
        <f>HYPERLINK("http://www.patentics.cn/invokexml.do?sx=showpatent_cn&amp;sf=ShowPatent&amp;spn=CN1398089&amp;sx=showpatent_cn&amp;sv=40591059dddbab5afb31bf84f6d559dd","CN1398089")</f>
        <v>CN1398089</v>
      </c>
      <c r="B1610" s="7" t="s">
        <v>8289</v>
      </c>
      <c r="C1610" s="7" t="s">
        <v>8290</v>
      </c>
      <c r="D1610" s="7" t="s">
        <v>1383</v>
      </c>
      <c r="E1610" s="7" t="s">
        <v>1383</v>
      </c>
      <c r="F1610" s="7" t="s">
        <v>8291</v>
      </c>
      <c r="G1610" s="7" t="s">
        <v>8292</v>
      </c>
      <c r="H1610" s="7" t="s">
        <v>8293</v>
      </c>
      <c r="I1610" s="7" t="s">
        <v>8293</v>
      </c>
      <c r="J1610" s="7" t="s">
        <v>8285</v>
      </c>
      <c r="K1610" s="7" t="s">
        <v>68</v>
      </c>
      <c r="L1610" s="7" t="s">
        <v>4504</v>
      </c>
      <c r="M1610" s="7">
        <v>9</v>
      </c>
      <c r="N1610" s="7">
        <v>28</v>
      </c>
      <c r="O1610" s="7" t="s">
        <v>42</v>
      </c>
      <c r="P1610" s="7" t="s">
        <v>43</v>
      </c>
      <c r="Q1610" s="7">
        <v>0</v>
      </c>
      <c r="R1610" s="7">
        <v>0</v>
      </c>
      <c r="S1610" s="7">
        <v>0</v>
      </c>
      <c r="T1610" s="7">
        <v>0</v>
      </c>
      <c r="U1610" s="7">
        <v>9</v>
      </c>
      <c r="V1610" s="7" t="s">
        <v>8294</v>
      </c>
      <c r="W1610" s="7">
        <v>0</v>
      </c>
      <c r="X1610" s="7">
        <v>9</v>
      </c>
      <c r="Y1610" s="7">
        <v>3</v>
      </c>
      <c r="Z1610" s="7">
        <v>3</v>
      </c>
      <c r="AA1610" s="7">
        <v>1</v>
      </c>
      <c r="AB1610" s="7">
        <v>1</v>
      </c>
      <c r="AC1610" s="7" t="s">
        <v>0</v>
      </c>
      <c r="AD1610" s="7">
        <v>1</v>
      </c>
      <c r="AE1610" s="7" t="s">
        <v>60</v>
      </c>
    </row>
    <row r="1611" spans="1:31" ht="25.5" x14ac:dyDescent="0.2">
      <c r="A1611" s="8" t="str">
        <f>HYPERLINK("http://www.patentics.cn/invokexml.do?sx=showpatent_cn&amp;sf=ShowPatent&amp;spn=CN100593349C&amp;sx=showpatent_cn&amp;sv=fbf964feb7e9e32fbe71245613f7fb8a","CN100593349C")</f>
        <v>CN100593349C</v>
      </c>
      <c r="B1611" s="9" t="s">
        <v>8295</v>
      </c>
      <c r="C1611" s="9" t="s">
        <v>8296</v>
      </c>
      <c r="D1611" s="9" t="s">
        <v>301</v>
      </c>
      <c r="E1611" s="9" t="s">
        <v>301</v>
      </c>
      <c r="F1611" s="9" t="s">
        <v>8297</v>
      </c>
      <c r="G1611" s="9" t="s">
        <v>2744</v>
      </c>
      <c r="H1611" s="9" t="s">
        <v>8298</v>
      </c>
      <c r="I1611" s="9" t="s">
        <v>2594</v>
      </c>
      <c r="J1611" s="9" t="s">
        <v>6385</v>
      </c>
      <c r="K1611" s="9" t="s">
        <v>96</v>
      </c>
      <c r="L1611" s="9" t="s">
        <v>1102</v>
      </c>
      <c r="M1611" s="9">
        <v>46</v>
      </c>
      <c r="N1611" s="9">
        <v>14</v>
      </c>
      <c r="O1611" s="9" t="s">
        <v>57</v>
      </c>
      <c r="P1611" s="9" t="s">
        <v>58</v>
      </c>
      <c r="Q1611" s="9">
        <v>4</v>
      </c>
      <c r="R1611" s="9">
        <v>0</v>
      </c>
      <c r="S1611" s="9">
        <v>4</v>
      </c>
      <c r="T1611" s="9">
        <v>3</v>
      </c>
      <c r="U1611" s="9">
        <v>0</v>
      </c>
      <c r="V1611" s="9" t="s">
        <v>114</v>
      </c>
      <c r="W1611" s="9">
        <v>0</v>
      </c>
      <c r="X1611" s="9">
        <v>0</v>
      </c>
      <c r="Y1611" s="9">
        <v>0</v>
      </c>
      <c r="Z1611" s="9">
        <v>0</v>
      </c>
      <c r="AA1611" s="9">
        <v>23</v>
      </c>
      <c r="AB1611" s="9">
        <v>12</v>
      </c>
      <c r="AC1611" s="9">
        <v>14</v>
      </c>
      <c r="AD1611" s="9" t="s">
        <v>0</v>
      </c>
      <c r="AE1611" s="9" t="s">
        <v>60</v>
      </c>
    </row>
    <row r="1612" spans="1:31" ht="25.5" x14ac:dyDescent="0.2">
      <c r="A1612" s="6" t="str">
        <f>HYPERLINK("http://www.patentics.cn/invokexml.do?sx=showpatent_cn&amp;sf=ShowPatent&amp;spn=CN1396774&amp;sx=showpatent_cn&amp;sv=4a821894ce10923598bbd22640602cf3","CN1396774")</f>
        <v>CN1396774</v>
      </c>
      <c r="B1612" s="7" t="s">
        <v>8299</v>
      </c>
      <c r="C1612" s="7" t="s">
        <v>4610</v>
      </c>
      <c r="D1612" s="7" t="s">
        <v>8300</v>
      </c>
      <c r="E1612" s="7" t="s">
        <v>4612</v>
      </c>
      <c r="F1612" s="7" t="s">
        <v>4613</v>
      </c>
      <c r="G1612" s="7" t="s">
        <v>1385</v>
      </c>
      <c r="H1612" s="7" t="s">
        <v>4614</v>
      </c>
      <c r="I1612" s="7" t="s">
        <v>4614</v>
      </c>
      <c r="J1612" s="7" t="s">
        <v>8301</v>
      </c>
      <c r="K1612" s="7" t="s">
        <v>714</v>
      </c>
      <c r="L1612" s="7" t="s">
        <v>1643</v>
      </c>
      <c r="M1612" s="7">
        <v>2</v>
      </c>
      <c r="N1612" s="7">
        <v>42</v>
      </c>
      <c r="O1612" s="7" t="s">
        <v>42</v>
      </c>
      <c r="P1612" s="7" t="s">
        <v>43</v>
      </c>
      <c r="Q1612" s="7">
        <v>0</v>
      </c>
      <c r="R1612" s="7">
        <v>0</v>
      </c>
      <c r="S1612" s="7">
        <v>0</v>
      </c>
      <c r="T1612" s="7">
        <v>0</v>
      </c>
      <c r="U1612" s="7">
        <v>10</v>
      </c>
      <c r="V1612" s="7" t="s">
        <v>8302</v>
      </c>
      <c r="W1612" s="7">
        <v>0</v>
      </c>
      <c r="X1612" s="7">
        <v>10</v>
      </c>
      <c r="Y1612" s="7">
        <v>8</v>
      </c>
      <c r="Z1612" s="7">
        <v>1</v>
      </c>
      <c r="AA1612" s="7">
        <v>1</v>
      </c>
      <c r="AB1612" s="7">
        <v>1</v>
      </c>
      <c r="AC1612" s="7" t="s">
        <v>0</v>
      </c>
      <c r="AD1612" s="7">
        <v>1</v>
      </c>
      <c r="AE1612" s="7" t="s">
        <v>532</v>
      </c>
    </row>
    <row r="1613" spans="1:31" ht="51" x14ac:dyDescent="0.2">
      <c r="A1613" s="8" t="str">
        <f>HYPERLINK("http://www.patentics.cn/invokexml.do?sx=showpatent_cn&amp;sf=ShowPatent&amp;spn=CN103202016B&amp;sx=showpatent_cn&amp;sv=f071256db41fb693a969fe00be9858ec","CN103202016B")</f>
        <v>CN103202016B</v>
      </c>
      <c r="B1613" s="9" t="s">
        <v>7247</v>
      </c>
      <c r="C1613" s="9" t="s">
        <v>7248</v>
      </c>
      <c r="D1613" s="9" t="s">
        <v>301</v>
      </c>
      <c r="E1613" s="9" t="s">
        <v>301</v>
      </c>
      <c r="F1613" s="9" t="s">
        <v>7249</v>
      </c>
      <c r="G1613" s="9" t="s">
        <v>3425</v>
      </c>
      <c r="H1613" s="9" t="s">
        <v>3558</v>
      </c>
      <c r="I1613" s="9" t="s">
        <v>7250</v>
      </c>
      <c r="J1613" s="9" t="s">
        <v>3872</v>
      </c>
      <c r="K1613" s="9" t="s">
        <v>714</v>
      </c>
      <c r="L1613" s="9" t="s">
        <v>7251</v>
      </c>
      <c r="M1613" s="9">
        <v>39</v>
      </c>
      <c r="N1613" s="9">
        <v>16</v>
      </c>
      <c r="O1613" s="9" t="s">
        <v>57</v>
      </c>
      <c r="P1613" s="9" t="s">
        <v>58</v>
      </c>
      <c r="Q1613" s="9">
        <v>3</v>
      </c>
      <c r="R1613" s="9">
        <v>0</v>
      </c>
      <c r="S1613" s="9">
        <v>3</v>
      </c>
      <c r="T1613" s="9">
        <v>3</v>
      </c>
      <c r="U1613" s="9">
        <v>0</v>
      </c>
      <c r="V1613" s="9" t="s">
        <v>114</v>
      </c>
      <c r="W1613" s="9">
        <v>0</v>
      </c>
      <c r="X1613" s="9">
        <v>0</v>
      </c>
      <c r="Y1613" s="9">
        <v>0</v>
      </c>
      <c r="Z1613" s="9">
        <v>0</v>
      </c>
      <c r="AA1613" s="9">
        <v>7</v>
      </c>
      <c r="AB1613" s="9">
        <v>6</v>
      </c>
      <c r="AC1613" s="9">
        <v>14</v>
      </c>
      <c r="AD1613" s="9" t="s">
        <v>0</v>
      </c>
      <c r="AE1613" s="9" t="s">
        <v>60</v>
      </c>
    </row>
    <row r="1614" spans="1:31" ht="51" x14ac:dyDescent="0.2">
      <c r="A1614" s="6" t="str">
        <f>HYPERLINK("http://www.patentics.cn/invokexml.do?sx=showpatent_cn&amp;sf=ShowPatent&amp;spn=CN1367592&amp;sx=showpatent_cn&amp;sv=0e959277d7244bd69d62d1cfb98f2b1d","CN1367592")</f>
        <v>CN1367592</v>
      </c>
      <c r="B1614" s="7" t="s">
        <v>8303</v>
      </c>
      <c r="C1614" s="7" t="s">
        <v>8304</v>
      </c>
      <c r="D1614" s="7" t="s">
        <v>8305</v>
      </c>
      <c r="E1614" s="7" t="s">
        <v>8305</v>
      </c>
      <c r="F1614" s="7" t="s">
        <v>8306</v>
      </c>
      <c r="G1614" s="7" t="s">
        <v>2063</v>
      </c>
      <c r="H1614" s="7" t="s">
        <v>8307</v>
      </c>
      <c r="I1614" s="7" t="s">
        <v>8307</v>
      </c>
      <c r="J1614" s="7" t="s">
        <v>4866</v>
      </c>
      <c r="K1614" s="7" t="s">
        <v>40</v>
      </c>
      <c r="L1614" s="7" t="s">
        <v>2090</v>
      </c>
      <c r="M1614" s="7">
        <v>3</v>
      </c>
      <c r="N1614" s="7">
        <v>11</v>
      </c>
      <c r="O1614" s="7" t="s">
        <v>42</v>
      </c>
      <c r="P1614" s="7" t="s">
        <v>43</v>
      </c>
      <c r="Q1614" s="7">
        <v>0</v>
      </c>
      <c r="R1614" s="7">
        <v>0</v>
      </c>
      <c r="S1614" s="7">
        <v>0</v>
      </c>
      <c r="T1614" s="7">
        <v>0</v>
      </c>
      <c r="U1614" s="7">
        <v>5</v>
      </c>
      <c r="V1614" s="7" t="s">
        <v>8308</v>
      </c>
      <c r="W1614" s="7">
        <v>0</v>
      </c>
      <c r="X1614" s="7">
        <v>5</v>
      </c>
      <c r="Y1614" s="7">
        <v>4</v>
      </c>
      <c r="Z1614" s="7">
        <v>1</v>
      </c>
      <c r="AA1614" s="7">
        <v>1</v>
      </c>
      <c r="AB1614" s="7">
        <v>1</v>
      </c>
      <c r="AC1614" s="7" t="s">
        <v>0</v>
      </c>
      <c r="AD1614" s="7">
        <v>1</v>
      </c>
      <c r="AE1614" s="7" t="s">
        <v>532</v>
      </c>
    </row>
    <row r="1615" spans="1:31" ht="114.75" x14ac:dyDescent="0.2">
      <c r="A1615" s="8" t="str">
        <f>HYPERLINK("http://www.patentics.cn/invokexml.do?sx=showpatent_cn&amp;sf=ShowPatent&amp;spn=CN101027850B&amp;sx=showpatent_cn&amp;sv=05143c7d3c922422087fded8fbf4e6c1","CN101027850B")</f>
        <v>CN101027850B</v>
      </c>
      <c r="B1615" s="9" t="s">
        <v>8309</v>
      </c>
      <c r="C1615" s="9" t="s">
        <v>8310</v>
      </c>
      <c r="D1615" s="9" t="s">
        <v>301</v>
      </c>
      <c r="E1615" s="9" t="s">
        <v>301</v>
      </c>
      <c r="F1615" s="9" t="s">
        <v>8311</v>
      </c>
      <c r="G1615" s="9" t="s">
        <v>8312</v>
      </c>
      <c r="H1615" s="9" t="s">
        <v>8313</v>
      </c>
      <c r="I1615" s="9" t="s">
        <v>8314</v>
      </c>
      <c r="J1615" s="9" t="s">
        <v>8165</v>
      </c>
      <c r="K1615" s="9" t="s">
        <v>89</v>
      </c>
      <c r="L1615" s="9" t="s">
        <v>8315</v>
      </c>
      <c r="M1615" s="9">
        <v>32</v>
      </c>
      <c r="N1615" s="9">
        <v>28</v>
      </c>
      <c r="O1615" s="9" t="s">
        <v>57</v>
      </c>
      <c r="P1615" s="9" t="s">
        <v>58</v>
      </c>
      <c r="Q1615" s="9">
        <v>8</v>
      </c>
      <c r="R1615" s="9">
        <v>5</v>
      </c>
      <c r="S1615" s="9">
        <v>3</v>
      </c>
      <c r="T1615" s="9">
        <v>4</v>
      </c>
      <c r="U1615" s="9">
        <v>0</v>
      </c>
      <c r="V1615" s="9" t="s">
        <v>114</v>
      </c>
      <c r="W1615" s="9">
        <v>0</v>
      </c>
      <c r="X1615" s="9">
        <v>0</v>
      </c>
      <c r="Y1615" s="9">
        <v>0</v>
      </c>
      <c r="Z1615" s="9">
        <v>0</v>
      </c>
      <c r="AA1615" s="9">
        <v>14</v>
      </c>
      <c r="AB1615" s="9">
        <v>13</v>
      </c>
      <c r="AC1615" s="9">
        <v>14</v>
      </c>
      <c r="AD1615" s="9" t="s">
        <v>0</v>
      </c>
      <c r="AE1615" s="9" t="s">
        <v>60</v>
      </c>
    </row>
    <row r="1616" spans="1:31" ht="25.5" x14ac:dyDescent="0.2">
      <c r="A1616" s="6" t="str">
        <f>HYPERLINK("http://www.patentics.cn/invokexml.do?sx=showpatent_cn&amp;sf=ShowPatent&amp;spn=CN1359235&amp;sx=showpatent_cn&amp;sv=291a25dd2f9d2d29c49815bb3657a339","CN1359235")</f>
        <v>CN1359235</v>
      </c>
      <c r="B1616" s="7" t="s">
        <v>8316</v>
      </c>
      <c r="C1616" s="7" t="s">
        <v>8317</v>
      </c>
      <c r="D1616" s="7" t="s">
        <v>2653</v>
      </c>
      <c r="E1616" s="7" t="s">
        <v>2653</v>
      </c>
      <c r="F1616" s="7" t="s">
        <v>8318</v>
      </c>
      <c r="G1616" s="7" t="s">
        <v>8319</v>
      </c>
      <c r="H1616" s="7" t="s">
        <v>8320</v>
      </c>
      <c r="I1616" s="7" t="s">
        <v>8320</v>
      </c>
      <c r="J1616" s="7" t="s">
        <v>8321</v>
      </c>
      <c r="K1616" s="7" t="s">
        <v>714</v>
      </c>
      <c r="L1616" s="7" t="s">
        <v>8322</v>
      </c>
      <c r="M1616" s="7">
        <v>5</v>
      </c>
      <c r="N1616" s="7">
        <v>20</v>
      </c>
      <c r="O1616" s="7" t="s">
        <v>42</v>
      </c>
      <c r="P1616" s="7" t="s">
        <v>43</v>
      </c>
      <c r="Q1616" s="7">
        <v>0</v>
      </c>
      <c r="R1616" s="7">
        <v>0</v>
      </c>
      <c r="S1616" s="7">
        <v>0</v>
      </c>
      <c r="T1616" s="7">
        <v>0</v>
      </c>
      <c r="U1616" s="7">
        <v>18</v>
      </c>
      <c r="V1616" s="7" t="s">
        <v>8323</v>
      </c>
      <c r="W1616" s="7">
        <v>0</v>
      </c>
      <c r="X1616" s="7">
        <v>18</v>
      </c>
      <c r="Y1616" s="7">
        <v>13</v>
      </c>
      <c r="Z1616" s="7">
        <v>2</v>
      </c>
      <c r="AA1616" s="7">
        <v>1</v>
      </c>
      <c r="AB1616" s="7">
        <v>1</v>
      </c>
      <c r="AC1616" s="7" t="s">
        <v>0</v>
      </c>
      <c r="AD1616" s="7">
        <v>1</v>
      </c>
      <c r="AE1616" s="7" t="s">
        <v>532</v>
      </c>
    </row>
    <row r="1617" spans="1:31" ht="63.75" x14ac:dyDescent="0.2">
      <c r="A1617" s="8" t="str">
        <f>HYPERLINK("http://www.patentics.cn/invokexml.do?sx=showpatent_cn&amp;sf=ShowPatent&amp;spn=CN101189882B&amp;sx=showpatent_cn&amp;sv=a3e2def9d2161209e7da03f980e7174d","CN101189882B")</f>
        <v>CN101189882B</v>
      </c>
      <c r="B1617" s="9" t="s">
        <v>8324</v>
      </c>
      <c r="C1617" s="9" t="s">
        <v>8325</v>
      </c>
      <c r="D1617" s="9" t="s">
        <v>301</v>
      </c>
      <c r="E1617" s="9" t="s">
        <v>301</v>
      </c>
      <c r="F1617" s="9" t="s">
        <v>8326</v>
      </c>
      <c r="G1617" s="9" t="s">
        <v>8327</v>
      </c>
      <c r="H1617" s="9" t="s">
        <v>8328</v>
      </c>
      <c r="I1617" s="9" t="s">
        <v>39</v>
      </c>
      <c r="J1617" s="9" t="s">
        <v>5440</v>
      </c>
      <c r="K1617" s="9" t="s">
        <v>714</v>
      </c>
      <c r="L1617" s="9" t="s">
        <v>7142</v>
      </c>
      <c r="M1617" s="9">
        <v>14</v>
      </c>
      <c r="N1617" s="9">
        <v>15</v>
      </c>
      <c r="O1617" s="9" t="s">
        <v>57</v>
      </c>
      <c r="P1617" s="9" t="s">
        <v>58</v>
      </c>
      <c r="Q1617" s="9">
        <v>5</v>
      </c>
      <c r="R1617" s="9">
        <v>0</v>
      </c>
      <c r="S1617" s="9">
        <v>5</v>
      </c>
      <c r="T1617" s="9">
        <v>5</v>
      </c>
      <c r="U1617" s="9">
        <v>0</v>
      </c>
      <c r="V1617" s="9" t="s">
        <v>114</v>
      </c>
      <c r="W1617" s="9">
        <v>0</v>
      </c>
      <c r="X1617" s="9">
        <v>0</v>
      </c>
      <c r="Y1617" s="9">
        <v>0</v>
      </c>
      <c r="Z1617" s="9">
        <v>0</v>
      </c>
      <c r="AA1617" s="9">
        <v>20</v>
      </c>
      <c r="AB1617" s="9">
        <v>12</v>
      </c>
      <c r="AC1617" s="9">
        <v>14</v>
      </c>
      <c r="AD1617" s="9" t="s">
        <v>0</v>
      </c>
      <c r="AE1617" s="9" t="s">
        <v>60</v>
      </c>
    </row>
    <row r="1618" spans="1:31" ht="38.25" x14ac:dyDescent="0.2">
      <c r="A1618" s="6" t="str">
        <f>HYPERLINK("http://www.patentics.cn/invokexml.do?sx=showpatent_cn&amp;sf=ShowPatent&amp;spn=CN1348141&amp;sx=showpatent_cn&amp;sv=7248cbbe3f836f5b674223536d54dd32","CN1348141")</f>
        <v>CN1348141</v>
      </c>
      <c r="B1618" s="7" t="s">
        <v>8329</v>
      </c>
      <c r="C1618" s="7" t="s">
        <v>8330</v>
      </c>
      <c r="D1618" s="7" t="s">
        <v>1383</v>
      </c>
      <c r="E1618" s="7" t="s">
        <v>1383</v>
      </c>
      <c r="F1618" s="7" t="s">
        <v>8279</v>
      </c>
      <c r="G1618" s="7" t="s">
        <v>4933</v>
      </c>
      <c r="H1618" s="7" t="s">
        <v>8331</v>
      </c>
      <c r="I1618" s="7" t="s">
        <v>8331</v>
      </c>
      <c r="J1618" s="7" t="s">
        <v>1642</v>
      </c>
      <c r="K1618" s="7" t="s">
        <v>885</v>
      </c>
      <c r="L1618" s="7" t="s">
        <v>1353</v>
      </c>
      <c r="M1618" s="7">
        <v>8</v>
      </c>
      <c r="N1618" s="7">
        <v>11</v>
      </c>
      <c r="O1618" s="7" t="s">
        <v>42</v>
      </c>
      <c r="P1618" s="7" t="s">
        <v>43</v>
      </c>
      <c r="Q1618" s="7">
        <v>0</v>
      </c>
      <c r="R1618" s="7">
        <v>0</v>
      </c>
      <c r="S1618" s="7">
        <v>0</v>
      </c>
      <c r="T1618" s="7">
        <v>0</v>
      </c>
      <c r="U1618" s="7">
        <v>12</v>
      </c>
      <c r="V1618" s="7" t="s">
        <v>2271</v>
      </c>
      <c r="W1618" s="7">
        <v>0</v>
      </c>
      <c r="X1618" s="7">
        <v>12</v>
      </c>
      <c r="Y1618" s="7">
        <v>8</v>
      </c>
      <c r="Z1618" s="7">
        <v>2</v>
      </c>
      <c r="AA1618" s="7">
        <v>1</v>
      </c>
      <c r="AB1618" s="7">
        <v>1</v>
      </c>
      <c r="AC1618" s="7" t="s">
        <v>0</v>
      </c>
      <c r="AD1618" s="7">
        <v>1</v>
      </c>
      <c r="AE1618" s="7" t="s">
        <v>532</v>
      </c>
    </row>
    <row r="1619" spans="1:31" ht="38.25" x14ac:dyDescent="0.2">
      <c r="A1619" s="8" t="str">
        <f>HYPERLINK("http://www.patentics.cn/invokexml.do?sx=showpatent_cn&amp;sf=ShowPatent&amp;spn=CN101933012B&amp;sx=showpatent_cn&amp;sv=c91e363b956184a2c6d85dbcc3dcff7d","CN101933012B")</f>
        <v>CN101933012B</v>
      </c>
      <c r="B1619" s="9" t="s">
        <v>7490</v>
      </c>
      <c r="C1619" s="9" t="s">
        <v>7491</v>
      </c>
      <c r="D1619" s="9" t="s">
        <v>301</v>
      </c>
      <c r="E1619" s="9" t="s">
        <v>301</v>
      </c>
      <c r="F1619" s="9" t="s">
        <v>7492</v>
      </c>
      <c r="G1619" s="9" t="s">
        <v>7493</v>
      </c>
      <c r="H1619" s="9" t="s">
        <v>7494</v>
      </c>
      <c r="I1619" s="9" t="s">
        <v>1901</v>
      </c>
      <c r="J1619" s="9" t="s">
        <v>6697</v>
      </c>
      <c r="K1619" s="9" t="s">
        <v>885</v>
      </c>
      <c r="L1619" s="9" t="s">
        <v>1353</v>
      </c>
      <c r="M1619" s="9">
        <v>7</v>
      </c>
      <c r="N1619" s="9">
        <v>21</v>
      </c>
      <c r="O1619" s="9" t="s">
        <v>57</v>
      </c>
      <c r="P1619" s="9" t="s">
        <v>7495</v>
      </c>
      <c r="Q1619" s="9">
        <v>5</v>
      </c>
      <c r="R1619" s="9">
        <v>0</v>
      </c>
      <c r="S1619" s="9">
        <v>5</v>
      </c>
      <c r="T1619" s="9">
        <v>5</v>
      </c>
      <c r="U1619" s="9">
        <v>0</v>
      </c>
      <c r="V1619" s="9" t="s">
        <v>114</v>
      </c>
      <c r="W1619" s="9">
        <v>0</v>
      </c>
      <c r="X1619" s="9">
        <v>0</v>
      </c>
      <c r="Y1619" s="9">
        <v>0</v>
      </c>
      <c r="Z1619" s="9">
        <v>0</v>
      </c>
      <c r="AA1619" s="9">
        <v>10</v>
      </c>
      <c r="AB1619" s="9">
        <v>6</v>
      </c>
      <c r="AC1619" s="9">
        <v>14</v>
      </c>
      <c r="AD1619" s="9" t="s">
        <v>0</v>
      </c>
      <c r="AE1619" s="9" t="s">
        <v>60</v>
      </c>
    </row>
    <row r="1620" spans="1:31" ht="38.25" x14ac:dyDescent="0.2">
      <c r="A1620" s="6" t="str">
        <f>HYPERLINK("http://www.patentics.cn/invokexml.do?sx=showpatent_cn&amp;sf=ShowPatent&amp;spn=CN1341546&amp;sx=showpatent_cn&amp;sv=9a4a7702fdd9f9e566f4a6088d0ea846","CN1341546")</f>
        <v>CN1341546</v>
      </c>
      <c r="B1620" s="7" t="s">
        <v>8332</v>
      </c>
      <c r="C1620" s="7" t="s">
        <v>8333</v>
      </c>
      <c r="D1620" s="7" t="s">
        <v>1383</v>
      </c>
      <c r="E1620" s="7" t="s">
        <v>1383</v>
      </c>
      <c r="F1620" s="7" t="s">
        <v>8334</v>
      </c>
      <c r="G1620" s="7" t="s">
        <v>8335</v>
      </c>
      <c r="H1620" s="7" t="s">
        <v>0</v>
      </c>
      <c r="I1620" s="7" t="s">
        <v>8336</v>
      </c>
      <c r="J1620" s="7" t="s">
        <v>7559</v>
      </c>
      <c r="K1620" s="7" t="s">
        <v>704</v>
      </c>
      <c r="L1620" s="7" t="s">
        <v>8337</v>
      </c>
      <c r="M1620" s="7">
        <v>6</v>
      </c>
      <c r="N1620" s="7">
        <v>18</v>
      </c>
      <c r="O1620" s="7" t="s">
        <v>42</v>
      </c>
      <c r="P1620" s="7" t="s">
        <v>43</v>
      </c>
      <c r="Q1620" s="7">
        <v>0</v>
      </c>
      <c r="R1620" s="7">
        <v>0</v>
      </c>
      <c r="S1620" s="7">
        <v>0</v>
      </c>
      <c r="T1620" s="7">
        <v>0</v>
      </c>
      <c r="U1620" s="7">
        <v>11</v>
      </c>
      <c r="V1620" s="7" t="s">
        <v>8338</v>
      </c>
      <c r="W1620" s="7">
        <v>0</v>
      </c>
      <c r="X1620" s="7">
        <v>11</v>
      </c>
      <c r="Y1620" s="7">
        <v>9</v>
      </c>
      <c r="Z1620" s="7">
        <v>2</v>
      </c>
      <c r="AA1620" s="7">
        <v>0</v>
      </c>
      <c r="AB1620" s="7">
        <v>0</v>
      </c>
      <c r="AC1620" s="7" t="s">
        <v>0</v>
      </c>
      <c r="AD1620" s="7">
        <v>1</v>
      </c>
      <c r="AE1620" s="7" t="s">
        <v>45</v>
      </c>
    </row>
    <row r="1621" spans="1:31" ht="114.75" x14ac:dyDescent="0.2">
      <c r="A1621" s="8" t="str">
        <f>HYPERLINK("http://www.patentics.cn/invokexml.do?sx=showpatent_cn&amp;sf=ShowPatent&amp;spn=US7534640&amp;sx=showpatent_cn&amp;sv=4089be9213760194a236165b180f2f90","US7534640")</f>
        <v>US7534640</v>
      </c>
      <c r="B1621" s="9" t="s">
        <v>8339</v>
      </c>
      <c r="C1621" s="9" t="s">
        <v>8340</v>
      </c>
      <c r="D1621" s="9" t="s">
        <v>617</v>
      </c>
      <c r="E1621" s="9" t="s">
        <v>49</v>
      </c>
      <c r="F1621" s="9" t="s">
        <v>8341</v>
      </c>
      <c r="G1621" s="9" t="s">
        <v>8342</v>
      </c>
      <c r="H1621" s="9" t="s">
        <v>8343</v>
      </c>
      <c r="I1621" s="9" t="s">
        <v>8344</v>
      </c>
      <c r="J1621" s="9" t="s">
        <v>8345</v>
      </c>
      <c r="K1621" s="9" t="s">
        <v>773</v>
      </c>
      <c r="L1621" s="9" t="s">
        <v>8346</v>
      </c>
      <c r="M1621" s="9">
        <v>55</v>
      </c>
      <c r="N1621" s="9">
        <v>8</v>
      </c>
      <c r="O1621" s="9" t="s">
        <v>57</v>
      </c>
      <c r="P1621" s="9" t="s">
        <v>58</v>
      </c>
      <c r="Q1621" s="9">
        <v>592</v>
      </c>
      <c r="R1621" s="9">
        <v>35</v>
      </c>
      <c r="S1621" s="9">
        <v>557</v>
      </c>
      <c r="T1621" s="9">
        <v>149</v>
      </c>
      <c r="U1621" s="9">
        <v>37</v>
      </c>
      <c r="V1621" s="9" t="s">
        <v>5355</v>
      </c>
      <c r="W1621" s="9">
        <v>20</v>
      </c>
      <c r="X1621" s="9">
        <v>17</v>
      </c>
      <c r="Y1621" s="9">
        <v>6</v>
      </c>
      <c r="Z1621" s="9">
        <v>3</v>
      </c>
      <c r="AA1621" s="9">
        <v>44</v>
      </c>
      <c r="AB1621" s="9">
        <v>10</v>
      </c>
      <c r="AC1621" s="9">
        <v>14</v>
      </c>
      <c r="AD1621" s="9" t="s">
        <v>0</v>
      </c>
      <c r="AE1621" s="9" t="s">
        <v>532</v>
      </c>
    </row>
    <row r="1622" spans="1:31" ht="38.25" x14ac:dyDescent="0.2">
      <c r="A1622" s="6" t="str">
        <f>HYPERLINK("http://www.patentics.cn/invokexml.do?sx=showpatent_cn&amp;sf=ShowPatent&amp;spn=CN1336738&amp;sx=showpatent_cn&amp;sv=cd0fca04f668fc2dd660276ea3fbc1bc","CN1336738")</f>
        <v>CN1336738</v>
      </c>
      <c r="B1622" s="7" t="s">
        <v>8347</v>
      </c>
      <c r="C1622" s="7" t="s">
        <v>8348</v>
      </c>
      <c r="D1622" s="7" t="s">
        <v>8349</v>
      </c>
      <c r="E1622" s="7" t="s">
        <v>8349</v>
      </c>
      <c r="F1622" s="7" t="s">
        <v>8350</v>
      </c>
      <c r="G1622" s="7" t="s">
        <v>8351</v>
      </c>
      <c r="H1622" s="7" t="s">
        <v>2089</v>
      </c>
      <c r="I1622" s="7" t="s">
        <v>2089</v>
      </c>
      <c r="J1622" s="7" t="s">
        <v>8352</v>
      </c>
      <c r="K1622" s="7" t="s">
        <v>40</v>
      </c>
      <c r="L1622" s="7" t="s">
        <v>8121</v>
      </c>
      <c r="M1622" s="7">
        <v>3</v>
      </c>
      <c r="N1622" s="7">
        <v>15</v>
      </c>
      <c r="O1622" s="7" t="s">
        <v>42</v>
      </c>
      <c r="P1622" s="7" t="s">
        <v>43</v>
      </c>
      <c r="Q1622" s="7">
        <v>0</v>
      </c>
      <c r="R1622" s="7">
        <v>0</v>
      </c>
      <c r="S1622" s="7">
        <v>0</v>
      </c>
      <c r="T1622" s="7">
        <v>0</v>
      </c>
      <c r="U1622" s="7">
        <v>5</v>
      </c>
      <c r="V1622" s="7" t="s">
        <v>8353</v>
      </c>
      <c r="W1622" s="7">
        <v>0</v>
      </c>
      <c r="X1622" s="7">
        <v>5</v>
      </c>
      <c r="Y1622" s="7">
        <v>4</v>
      </c>
      <c r="Z1622" s="7">
        <v>1</v>
      </c>
      <c r="AA1622" s="7">
        <v>1</v>
      </c>
      <c r="AB1622" s="7">
        <v>1</v>
      </c>
      <c r="AC1622" s="7" t="s">
        <v>0</v>
      </c>
      <c r="AD1622" s="7">
        <v>1</v>
      </c>
      <c r="AE1622" s="7" t="s">
        <v>532</v>
      </c>
    </row>
    <row r="1623" spans="1:31" ht="76.5" x14ac:dyDescent="0.2">
      <c r="A1623" s="8" t="str">
        <f>HYPERLINK("http://www.patentics.cn/invokexml.do?sx=showpatent_cn&amp;sf=ShowPatent&amp;spn=CN101091346B&amp;sx=showpatent_cn&amp;sv=b7111197bee019325e5b4bcc70244581","CN101091346B")</f>
        <v>CN101091346B</v>
      </c>
      <c r="B1623" s="9" t="s">
        <v>8354</v>
      </c>
      <c r="C1623" s="9" t="s">
        <v>8355</v>
      </c>
      <c r="D1623" s="9" t="s">
        <v>301</v>
      </c>
      <c r="E1623" s="9" t="s">
        <v>301</v>
      </c>
      <c r="F1623" s="9" t="s">
        <v>1665</v>
      </c>
      <c r="G1623" s="9" t="s">
        <v>1666</v>
      </c>
      <c r="H1623" s="9" t="s">
        <v>1648</v>
      </c>
      <c r="I1623" s="9" t="s">
        <v>1649</v>
      </c>
      <c r="J1623" s="9" t="s">
        <v>3318</v>
      </c>
      <c r="K1623" s="9" t="s">
        <v>68</v>
      </c>
      <c r="L1623" s="9" t="s">
        <v>1668</v>
      </c>
      <c r="M1623" s="9">
        <v>19</v>
      </c>
      <c r="N1623" s="9">
        <v>12</v>
      </c>
      <c r="O1623" s="9" t="s">
        <v>57</v>
      </c>
      <c r="P1623" s="9" t="s">
        <v>58</v>
      </c>
      <c r="Q1623" s="9">
        <v>5</v>
      </c>
      <c r="R1623" s="9">
        <v>1</v>
      </c>
      <c r="S1623" s="9">
        <v>4</v>
      </c>
      <c r="T1623" s="9">
        <v>5</v>
      </c>
      <c r="U1623" s="9">
        <v>0</v>
      </c>
      <c r="V1623" s="9" t="s">
        <v>114</v>
      </c>
      <c r="W1623" s="9">
        <v>0</v>
      </c>
      <c r="X1623" s="9">
        <v>0</v>
      </c>
      <c r="Y1623" s="9">
        <v>0</v>
      </c>
      <c r="Z1623" s="9">
        <v>0</v>
      </c>
      <c r="AA1623" s="9">
        <v>74</v>
      </c>
      <c r="AB1623" s="9">
        <v>17</v>
      </c>
      <c r="AC1623" s="9">
        <v>14</v>
      </c>
      <c r="AD1623" s="9" t="s">
        <v>0</v>
      </c>
      <c r="AE1623" s="9" t="s">
        <v>60</v>
      </c>
    </row>
    <row r="1624" spans="1:31" ht="51" x14ac:dyDescent="0.2">
      <c r="A1624" s="6" t="str">
        <f>HYPERLINK("http://www.patentics.cn/invokexml.do?sx=showpatent_cn&amp;sf=ShowPatent&amp;spn=CN1334510&amp;sx=showpatent_cn&amp;sv=e73fa272eeb787af8ee3824e90f83c58","CN1334510")</f>
        <v>CN1334510</v>
      </c>
      <c r="B1624" s="7" t="s">
        <v>8356</v>
      </c>
      <c r="C1624" s="7" t="s">
        <v>8357</v>
      </c>
      <c r="D1624" s="7" t="s">
        <v>1383</v>
      </c>
      <c r="E1624" s="7" t="s">
        <v>1383</v>
      </c>
      <c r="F1624" s="7" t="s">
        <v>8358</v>
      </c>
      <c r="G1624" s="7" t="s">
        <v>5927</v>
      </c>
      <c r="H1624" s="7" t="s">
        <v>8336</v>
      </c>
      <c r="I1624" s="7" t="s">
        <v>8336</v>
      </c>
      <c r="J1624" s="7" t="s">
        <v>8359</v>
      </c>
      <c r="K1624" s="7" t="s">
        <v>885</v>
      </c>
      <c r="L1624" s="7" t="s">
        <v>8360</v>
      </c>
      <c r="M1624" s="7">
        <v>8</v>
      </c>
      <c r="N1624" s="7">
        <v>30</v>
      </c>
      <c r="O1624" s="7" t="s">
        <v>42</v>
      </c>
      <c r="P1624" s="7" t="s">
        <v>43</v>
      </c>
      <c r="Q1624" s="7">
        <v>0</v>
      </c>
      <c r="R1624" s="7">
        <v>0</v>
      </c>
      <c r="S1624" s="7">
        <v>0</v>
      </c>
      <c r="T1624" s="7">
        <v>0</v>
      </c>
      <c r="U1624" s="7">
        <v>14</v>
      </c>
      <c r="V1624" s="7" t="s">
        <v>8361</v>
      </c>
      <c r="W1624" s="7">
        <v>1</v>
      </c>
      <c r="X1624" s="7">
        <v>13</v>
      </c>
      <c r="Y1624" s="7">
        <v>9</v>
      </c>
      <c r="Z1624" s="7">
        <v>4</v>
      </c>
      <c r="AA1624" s="7">
        <v>1</v>
      </c>
      <c r="AB1624" s="7">
        <v>1</v>
      </c>
      <c r="AC1624" s="7" t="s">
        <v>0</v>
      </c>
      <c r="AD1624" s="7">
        <v>1</v>
      </c>
      <c r="AE1624" s="7" t="s">
        <v>60</v>
      </c>
    </row>
    <row r="1625" spans="1:31" ht="51" x14ac:dyDescent="0.2">
      <c r="A1625" s="8" t="str">
        <f>HYPERLINK("http://www.patentics.cn/invokexml.do?sx=showpatent_cn&amp;sf=ShowPatent&amp;spn=CN101821716B&amp;sx=showpatent_cn&amp;sv=29d457719c1b7123c6ea2538203a2a6e","CN101821716B")</f>
        <v>CN101821716B</v>
      </c>
      <c r="B1625" s="9" t="s">
        <v>8362</v>
      </c>
      <c r="C1625" s="9" t="s">
        <v>8363</v>
      </c>
      <c r="D1625" s="9" t="s">
        <v>301</v>
      </c>
      <c r="E1625" s="9" t="s">
        <v>301</v>
      </c>
      <c r="F1625" s="9" t="s">
        <v>8364</v>
      </c>
      <c r="G1625" s="9" t="s">
        <v>8365</v>
      </c>
      <c r="H1625" s="9" t="s">
        <v>6610</v>
      </c>
      <c r="I1625" s="9" t="s">
        <v>6610</v>
      </c>
      <c r="J1625" s="9" t="s">
        <v>5934</v>
      </c>
      <c r="K1625" s="9" t="s">
        <v>885</v>
      </c>
      <c r="L1625" s="9" t="s">
        <v>8360</v>
      </c>
      <c r="M1625" s="9">
        <v>35</v>
      </c>
      <c r="N1625" s="9">
        <v>19</v>
      </c>
      <c r="O1625" s="9" t="s">
        <v>57</v>
      </c>
      <c r="P1625" s="9" t="s">
        <v>58</v>
      </c>
      <c r="Q1625" s="9">
        <v>3</v>
      </c>
      <c r="R1625" s="9">
        <v>0</v>
      </c>
      <c r="S1625" s="9">
        <v>3</v>
      </c>
      <c r="T1625" s="9">
        <v>3</v>
      </c>
      <c r="U1625" s="9">
        <v>0</v>
      </c>
      <c r="V1625" s="9" t="s">
        <v>114</v>
      </c>
      <c r="W1625" s="9">
        <v>0</v>
      </c>
      <c r="X1625" s="9">
        <v>0</v>
      </c>
      <c r="Y1625" s="9">
        <v>0</v>
      </c>
      <c r="Z1625" s="9">
        <v>0</v>
      </c>
      <c r="AA1625" s="9">
        <v>0</v>
      </c>
      <c r="AB1625" s="9">
        <v>0</v>
      </c>
      <c r="AC1625" s="9">
        <v>14</v>
      </c>
      <c r="AD1625" s="9" t="s">
        <v>0</v>
      </c>
      <c r="AE1625" s="9" t="s">
        <v>60</v>
      </c>
    </row>
    <row r="1626" spans="1:31" ht="25.5" x14ac:dyDescent="0.2">
      <c r="A1626" s="6" t="str">
        <f>HYPERLINK("http://www.patentics.cn/invokexml.do?sx=showpatent_cn&amp;sf=ShowPatent&amp;spn=CN1333634&amp;sx=showpatent_cn&amp;sv=e60d0efda36305510a35f5041a0480fb","CN1333634")</f>
        <v>CN1333634</v>
      </c>
      <c r="B1626" s="7" t="s">
        <v>8366</v>
      </c>
      <c r="C1626" s="7" t="s">
        <v>8367</v>
      </c>
      <c r="D1626" s="7" t="s">
        <v>932</v>
      </c>
      <c r="E1626" s="7" t="s">
        <v>932</v>
      </c>
      <c r="F1626" s="7" t="s">
        <v>8368</v>
      </c>
      <c r="G1626" s="7" t="s">
        <v>8369</v>
      </c>
      <c r="H1626" s="7" t="s">
        <v>8370</v>
      </c>
      <c r="I1626" s="7" t="s">
        <v>8370</v>
      </c>
      <c r="J1626" s="7" t="s">
        <v>8371</v>
      </c>
      <c r="K1626" s="7" t="s">
        <v>714</v>
      </c>
      <c r="L1626" s="7" t="s">
        <v>1346</v>
      </c>
      <c r="M1626" s="7">
        <v>5</v>
      </c>
      <c r="N1626" s="7">
        <v>23</v>
      </c>
      <c r="O1626" s="7" t="s">
        <v>42</v>
      </c>
      <c r="P1626" s="7" t="s">
        <v>43</v>
      </c>
      <c r="Q1626" s="7">
        <v>0</v>
      </c>
      <c r="R1626" s="7">
        <v>0</v>
      </c>
      <c r="S1626" s="7">
        <v>0</v>
      </c>
      <c r="T1626" s="7">
        <v>0</v>
      </c>
      <c r="U1626" s="7">
        <v>36</v>
      </c>
      <c r="V1626" s="7" t="s">
        <v>8372</v>
      </c>
      <c r="W1626" s="7">
        <v>4</v>
      </c>
      <c r="X1626" s="7">
        <v>32</v>
      </c>
      <c r="Y1626" s="7">
        <v>23</v>
      </c>
      <c r="Z1626" s="7">
        <v>2</v>
      </c>
      <c r="AA1626" s="7">
        <v>1</v>
      </c>
      <c r="AB1626" s="7">
        <v>1</v>
      </c>
      <c r="AC1626" s="7" t="s">
        <v>0</v>
      </c>
      <c r="AD1626" s="7">
        <v>1</v>
      </c>
      <c r="AE1626" s="7" t="s">
        <v>60</v>
      </c>
    </row>
    <row r="1627" spans="1:31" ht="76.5" x14ac:dyDescent="0.2">
      <c r="A1627" s="8" t="str">
        <f>HYPERLINK("http://www.patentics.cn/invokexml.do?sx=showpatent_cn&amp;sf=ShowPatent&amp;spn=CN101305615B&amp;sx=showpatent_cn&amp;sv=7f5a828caa7fdd9a8c90e4cc2a6bde54","CN101305615B")</f>
        <v>CN101305615B</v>
      </c>
      <c r="B1627" s="9" t="s">
        <v>8373</v>
      </c>
      <c r="C1627" s="9" t="s">
        <v>8374</v>
      </c>
      <c r="D1627" s="9" t="s">
        <v>301</v>
      </c>
      <c r="E1627" s="9" t="s">
        <v>301</v>
      </c>
      <c r="F1627" s="9" t="s">
        <v>8375</v>
      </c>
      <c r="G1627" s="9" t="s">
        <v>8376</v>
      </c>
      <c r="H1627" s="9" t="s">
        <v>8139</v>
      </c>
      <c r="I1627" s="9" t="s">
        <v>8140</v>
      </c>
      <c r="J1627" s="9" t="s">
        <v>5735</v>
      </c>
      <c r="K1627" s="9" t="s">
        <v>714</v>
      </c>
      <c r="L1627" s="9" t="s">
        <v>1346</v>
      </c>
      <c r="M1627" s="9">
        <v>20</v>
      </c>
      <c r="N1627" s="9">
        <v>12</v>
      </c>
      <c r="O1627" s="9" t="s">
        <v>57</v>
      </c>
      <c r="P1627" s="9" t="s">
        <v>58</v>
      </c>
      <c r="Q1627" s="9">
        <v>3</v>
      </c>
      <c r="R1627" s="9">
        <v>0</v>
      </c>
      <c r="S1627" s="9">
        <v>3</v>
      </c>
      <c r="T1627" s="9">
        <v>3</v>
      </c>
      <c r="U1627" s="9">
        <v>0</v>
      </c>
      <c r="V1627" s="9" t="s">
        <v>114</v>
      </c>
      <c r="W1627" s="9">
        <v>0</v>
      </c>
      <c r="X1627" s="9">
        <v>0</v>
      </c>
      <c r="Y1627" s="9">
        <v>0</v>
      </c>
      <c r="Z1627" s="9">
        <v>0</v>
      </c>
      <c r="AA1627" s="9">
        <v>10</v>
      </c>
      <c r="AB1627" s="9">
        <v>7</v>
      </c>
      <c r="AC1627" s="9">
        <v>14</v>
      </c>
      <c r="AD1627" s="9" t="s">
        <v>0</v>
      </c>
      <c r="AE1627" s="9" t="s">
        <v>532</v>
      </c>
    </row>
    <row r="1628" spans="1:31" ht="38.25" x14ac:dyDescent="0.2">
      <c r="A1628" s="6" t="str">
        <f>HYPERLINK("http://www.patentics.cn/invokexml.do?sx=showpatent_cn&amp;sf=ShowPatent&amp;spn=CN1328347&amp;sx=showpatent_cn&amp;sv=0c1c81ac91e45f23b32879f1bdcd3955","CN1328347")</f>
        <v>CN1328347</v>
      </c>
      <c r="B1628" s="7" t="s">
        <v>8377</v>
      </c>
      <c r="C1628" s="7" t="s">
        <v>8378</v>
      </c>
      <c r="D1628" s="7" t="s">
        <v>8379</v>
      </c>
      <c r="E1628" s="7" t="s">
        <v>8380</v>
      </c>
      <c r="F1628" s="7" t="s">
        <v>8381</v>
      </c>
      <c r="G1628" s="7" t="s">
        <v>8382</v>
      </c>
      <c r="H1628" s="7" t="s">
        <v>2089</v>
      </c>
      <c r="I1628" s="7" t="s">
        <v>2089</v>
      </c>
      <c r="J1628" s="7" t="s">
        <v>8383</v>
      </c>
      <c r="K1628" s="7" t="s">
        <v>773</v>
      </c>
      <c r="L1628" s="7" t="s">
        <v>8384</v>
      </c>
      <c r="M1628" s="7">
        <v>7</v>
      </c>
      <c r="N1628" s="7">
        <v>9</v>
      </c>
      <c r="O1628" s="7" t="s">
        <v>42</v>
      </c>
      <c r="P1628" s="7" t="s">
        <v>43</v>
      </c>
      <c r="Q1628" s="7">
        <v>0</v>
      </c>
      <c r="R1628" s="7">
        <v>0</v>
      </c>
      <c r="S1628" s="7">
        <v>0</v>
      </c>
      <c r="T1628" s="7">
        <v>0</v>
      </c>
      <c r="U1628" s="7">
        <v>5</v>
      </c>
      <c r="V1628" s="7" t="s">
        <v>8385</v>
      </c>
      <c r="W1628" s="7">
        <v>2</v>
      </c>
      <c r="X1628" s="7">
        <v>3</v>
      </c>
      <c r="Y1628" s="7">
        <v>3</v>
      </c>
      <c r="Z1628" s="7">
        <v>1</v>
      </c>
      <c r="AA1628" s="7">
        <v>1</v>
      </c>
      <c r="AB1628" s="7">
        <v>1</v>
      </c>
      <c r="AC1628" s="7" t="s">
        <v>0</v>
      </c>
      <c r="AD1628" s="7">
        <v>1</v>
      </c>
      <c r="AE1628" s="7" t="s">
        <v>532</v>
      </c>
    </row>
    <row r="1629" spans="1:31" ht="51" x14ac:dyDescent="0.2">
      <c r="A1629" s="8" t="str">
        <f>HYPERLINK("http://www.patentics.cn/invokexml.do?sx=showpatent_cn&amp;sf=ShowPatent&amp;spn=CN101809755B&amp;sx=showpatent_cn&amp;sv=2c12406ff7ba3263f8acc678d48866d4","CN101809755B")</f>
        <v>CN101809755B</v>
      </c>
      <c r="B1629" s="9" t="s">
        <v>8210</v>
      </c>
      <c r="C1629" s="9" t="s">
        <v>8211</v>
      </c>
      <c r="D1629" s="9" t="s">
        <v>699</v>
      </c>
      <c r="E1629" s="9" t="s">
        <v>301</v>
      </c>
      <c r="F1629" s="9" t="s">
        <v>8212</v>
      </c>
      <c r="G1629" s="9" t="s">
        <v>8213</v>
      </c>
      <c r="H1629" s="9" t="s">
        <v>8214</v>
      </c>
      <c r="I1629" s="9" t="s">
        <v>4353</v>
      </c>
      <c r="J1629" s="9" t="s">
        <v>5295</v>
      </c>
      <c r="K1629" s="9" t="s">
        <v>773</v>
      </c>
      <c r="L1629" s="9" t="s">
        <v>8208</v>
      </c>
      <c r="M1629" s="9">
        <v>44</v>
      </c>
      <c r="N1629" s="9">
        <v>16</v>
      </c>
      <c r="O1629" s="9" t="s">
        <v>57</v>
      </c>
      <c r="P1629" s="9" t="s">
        <v>58</v>
      </c>
      <c r="Q1629" s="9">
        <v>7</v>
      </c>
      <c r="R1629" s="9">
        <v>0</v>
      </c>
      <c r="S1629" s="9">
        <v>7</v>
      </c>
      <c r="T1629" s="9">
        <v>6</v>
      </c>
      <c r="U1629" s="9">
        <v>0</v>
      </c>
      <c r="V1629" s="9" t="s">
        <v>114</v>
      </c>
      <c r="W1629" s="9">
        <v>0</v>
      </c>
      <c r="X1629" s="9">
        <v>0</v>
      </c>
      <c r="Y1629" s="9">
        <v>0</v>
      </c>
      <c r="Z1629" s="9">
        <v>0</v>
      </c>
      <c r="AA1629" s="9">
        <v>18</v>
      </c>
      <c r="AB1629" s="9">
        <v>10</v>
      </c>
      <c r="AC1629" s="9">
        <v>14</v>
      </c>
      <c r="AD1629" s="9" t="s">
        <v>0</v>
      </c>
      <c r="AE1629" s="9" t="s">
        <v>532</v>
      </c>
    </row>
    <row r="1630" spans="1:31" ht="25.5" x14ac:dyDescent="0.2">
      <c r="A1630" s="6" t="str">
        <f>HYPERLINK("http://www.patentics.cn/invokexml.do?sx=showpatent_cn&amp;sf=ShowPatent&amp;spn=CN1324155&amp;sx=showpatent_cn&amp;sv=5a82466674a203848e9f216f33cdc27c","CN1324155")</f>
        <v>CN1324155</v>
      </c>
      <c r="B1630" s="7" t="s">
        <v>8386</v>
      </c>
      <c r="C1630" s="7" t="s">
        <v>8387</v>
      </c>
      <c r="D1630" s="7" t="s">
        <v>1383</v>
      </c>
      <c r="E1630" s="7" t="s">
        <v>1383</v>
      </c>
      <c r="F1630" s="7" t="s">
        <v>8388</v>
      </c>
      <c r="G1630" s="7" t="s">
        <v>8389</v>
      </c>
      <c r="H1630" s="7" t="s">
        <v>8390</v>
      </c>
      <c r="I1630" s="7" t="s">
        <v>8390</v>
      </c>
      <c r="J1630" s="7" t="s">
        <v>8391</v>
      </c>
      <c r="K1630" s="7" t="s">
        <v>488</v>
      </c>
      <c r="L1630" s="7" t="s">
        <v>8392</v>
      </c>
      <c r="M1630" s="7">
        <v>1</v>
      </c>
      <c r="N1630" s="7">
        <v>21</v>
      </c>
      <c r="O1630" s="7" t="s">
        <v>42</v>
      </c>
      <c r="P1630" s="7" t="s">
        <v>43</v>
      </c>
      <c r="Q1630" s="7">
        <v>0</v>
      </c>
      <c r="R1630" s="7">
        <v>0</v>
      </c>
      <c r="S1630" s="7">
        <v>0</v>
      </c>
      <c r="T1630" s="7">
        <v>0</v>
      </c>
      <c r="U1630" s="7">
        <v>15</v>
      </c>
      <c r="V1630" s="7" t="s">
        <v>8393</v>
      </c>
      <c r="W1630" s="7">
        <v>0</v>
      </c>
      <c r="X1630" s="7">
        <v>15</v>
      </c>
      <c r="Y1630" s="7">
        <v>10</v>
      </c>
      <c r="Z1630" s="7">
        <v>2</v>
      </c>
      <c r="AA1630" s="7">
        <v>1</v>
      </c>
      <c r="AB1630" s="7">
        <v>1</v>
      </c>
      <c r="AC1630" s="7" t="s">
        <v>0</v>
      </c>
      <c r="AD1630" s="7">
        <v>1</v>
      </c>
      <c r="AE1630" s="7" t="s">
        <v>532</v>
      </c>
    </row>
    <row r="1631" spans="1:31" ht="102" x14ac:dyDescent="0.2">
      <c r="A1631" s="8" t="str">
        <f>HYPERLINK("http://www.patentics.cn/invokexml.do?sx=showpatent_cn&amp;sf=ShowPatent&amp;spn=CN101485202B&amp;sx=showpatent_cn&amp;sv=ad4c82ce5d1074fd1e27bcccb52466fe","CN101485202B")</f>
        <v>CN101485202B</v>
      </c>
      <c r="B1631" s="9" t="s">
        <v>8394</v>
      </c>
      <c r="C1631" s="9" t="s">
        <v>8395</v>
      </c>
      <c r="D1631" s="9" t="s">
        <v>301</v>
      </c>
      <c r="E1631" s="9" t="s">
        <v>301</v>
      </c>
      <c r="F1631" s="9" t="s">
        <v>8396</v>
      </c>
      <c r="G1631" s="9" t="s">
        <v>8397</v>
      </c>
      <c r="H1631" s="9" t="s">
        <v>4553</v>
      </c>
      <c r="I1631" s="9" t="s">
        <v>8398</v>
      </c>
      <c r="J1631" s="9" t="s">
        <v>8399</v>
      </c>
      <c r="K1631" s="9" t="s">
        <v>714</v>
      </c>
      <c r="L1631" s="9" t="s">
        <v>1360</v>
      </c>
      <c r="M1631" s="9">
        <v>27</v>
      </c>
      <c r="N1631" s="9">
        <v>11</v>
      </c>
      <c r="O1631" s="9" t="s">
        <v>57</v>
      </c>
      <c r="P1631" s="9" t="s">
        <v>58</v>
      </c>
      <c r="Q1631" s="9">
        <v>1</v>
      </c>
      <c r="R1631" s="9">
        <v>0</v>
      </c>
      <c r="S1631" s="9">
        <v>1</v>
      </c>
      <c r="T1631" s="9">
        <v>1</v>
      </c>
      <c r="U1631" s="9">
        <v>0</v>
      </c>
      <c r="V1631" s="9" t="s">
        <v>114</v>
      </c>
      <c r="W1631" s="9">
        <v>0</v>
      </c>
      <c r="X1631" s="9">
        <v>0</v>
      </c>
      <c r="Y1631" s="9">
        <v>0</v>
      </c>
      <c r="Z1631" s="9">
        <v>0</v>
      </c>
      <c r="AA1631" s="9">
        <v>10</v>
      </c>
      <c r="AB1631" s="9">
        <v>7</v>
      </c>
      <c r="AC1631" s="9">
        <v>14</v>
      </c>
      <c r="AD1631" s="9" t="s">
        <v>0</v>
      </c>
      <c r="AE1631" s="9" t="s">
        <v>532</v>
      </c>
    </row>
    <row r="1632" spans="1:31" ht="38.25" x14ac:dyDescent="0.2">
      <c r="A1632" s="6" t="str">
        <f>HYPERLINK("http://www.patentics.cn/invokexml.do?sx=showpatent_cn&amp;sf=ShowPatent&amp;spn=CN1312625&amp;sx=showpatent_cn&amp;sv=23bb5123e6e63782aad62063b30cc4f5","CN1312625")</f>
        <v>CN1312625</v>
      </c>
      <c r="B1632" s="7" t="s">
        <v>8400</v>
      </c>
      <c r="C1632" s="7" t="s">
        <v>8401</v>
      </c>
      <c r="D1632" s="7" t="s">
        <v>8402</v>
      </c>
      <c r="E1632" s="7" t="s">
        <v>8402</v>
      </c>
      <c r="F1632" s="7" t="s">
        <v>8403</v>
      </c>
      <c r="G1632" s="7" t="s">
        <v>8404</v>
      </c>
      <c r="H1632" s="7" t="s">
        <v>8405</v>
      </c>
      <c r="I1632" s="7" t="s">
        <v>8405</v>
      </c>
      <c r="J1632" s="7" t="s">
        <v>8406</v>
      </c>
      <c r="K1632" s="7" t="s">
        <v>40</v>
      </c>
      <c r="L1632" s="7" t="s">
        <v>2090</v>
      </c>
      <c r="M1632" s="7">
        <v>4</v>
      </c>
      <c r="N1632" s="7">
        <v>6</v>
      </c>
      <c r="O1632" s="7" t="s">
        <v>42</v>
      </c>
      <c r="P1632" s="7" t="s">
        <v>43</v>
      </c>
      <c r="Q1632" s="7">
        <v>0</v>
      </c>
      <c r="R1632" s="7">
        <v>0</v>
      </c>
      <c r="S1632" s="7">
        <v>0</v>
      </c>
      <c r="T1632" s="7">
        <v>0</v>
      </c>
      <c r="U1632" s="7">
        <v>7</v>
      </c>
      <c r="V1632" s="7" t="s">
        <v>8407</v>
      </c>
      <c r="W1632" s="7">
        <v>0</v>
      </c>
      <c r="X1632" s="7">
        <v>7</v>
      </c>
      <c r="Y1632" s="7">
        <v>6</v>
      </c>
      <c r="Z1632" s="7">
        <v>3</v>
      </c>
      <c r="AA1632" s="7">
        <v>1</v>
      </c>
      <c r="AB1632" s="7">
        <v>1</v>
      </c>
      <c r="AC1632" s="7" t="s">
        <v>0</v>
      </c>
      <c r="AD1632" s="7">
        <v>1</v>
      </c>
      <c r="AE1632" s="7" t="s">
        <v>532</v>
      </c>
    </row>
    <row r="1633" spans="1:31" ht="51" x14ac:dyDescent="0.2">
      <c r="A1633" s="8" t="str">
        <f>HYPERLINK("http://www.patentics.cn/invokexml.do?sx=showpatent_cn&amp;sf=ShowPatent&amp;spn=CN100568859C&amp;sx=showpatent_cn&amp;sv=c8c9a0fcbcd8d4ba325e328378ef7fc3","CN100568859C")</f>
        <v>CN100568859C</v>
      </c>
      <c r="B1633" s="9" t="s">
        <v>8408</v>
      </c>
      <c r="C1633" s="9" t="s">
        <v>8409</v>
      </c>
      <c r="D1633" s="9" t="s">
        <v>301</v>
      </c>
      <c r="E1633" s="9" t="s">
        <v>301</v>
      </c>
      <c r="F1633" s="9" t="s">
        <v>8410</v>
      </c>
      <c r="G1633" s="9" t="s">
        <v>8411</v>
      </c>
      <c r="H1633" s="9" t="s">
        <v>8412</v>
      </c>
      <c r="I1633" s="9" t="s">
        <v>8413</v>
      </c>
      <c r="J1633" s="9" t="s">
        <v>6853</v>
      </c>
      <c r="K1633" s="9" t="s">
        <v>68</v>
      </c>
      <c r="L1633" s="9" t="s">
        <v>5441</v>
      </c>
      <c r="M1633" s="9">
        <v>34</v>
      </c>
      <c r="N1633" s="9">
        <v>8</v>
      </c>
      <c r="O1633" s="9" t="s">
        <v>57</v>
      </c>
      <c r="P1633" s="9" t="s">
        <v>58</v>
      </c>
      <c r="Q1633" s="9">
        <v>4</v>
      </c>
      <c r="R1633" s="9">
        <v>3</v>
      </c>
      <c r="S1633" s="9">
        <v>1</v>
      </c>
      <c r="T1633" s="9">
        <v>2</v>
      </c>
      <c r="U1633" s="9">
        <v>0</v>
      </c>
      <c r="V1633" s="9" t="s">
        <v>114</v>
      </c>
      <c r="W1633" s="9">
        <v>0</v>
      </c>
      <c r="X1633" s="9">
        <v>0</v>
      </c>
      <c r="Y1633" s="9">
        <v>0</v>
      </c>
      <c r="Z1633" s="9">
        <v>0</v>
      </c>
      <c r="AA1633" s="9">
        <v>15</v>
      </c>
      <c r="AB1633" s="9">
        <v>10</v>
      </c>
      <c r="AC1633" s="9">
        <v>14</v>
      </c>
      <c r="AD1633" s="9" t="s">
        <v>0</v>
      </c>
      <c r="AE1633" s="9" t="s">
        <v>60</v>
      </c>
    </row>
    <row r="1634" spans="1:31" ht="25.5" x14ac:dyDescent="0.2">
      <c r="A1634" s="6" t="str">
        <f>HYPERLINK("http://www.patentics.cn/invokexml.do?sx=showpatent_cn&amp;sf=ShowPatent&amp;spn=CN1305294&amp;sx=showpatent_cn&amp;sv=9690de0fe2333f9c28902fa9e7317212","CN1305294")</f>
        <v>CN1305294</v>
      </c>
      <c r="B1634" s="7" t="s">
        <v>8414</v>
      </c>
      <c r="C1634" s="7" t="s">
        <v>8415</v>
      </c>
      <c r="D1634" s="7" t="s">
        <v>1383</v>
      </c>
      <c r="E1634" s="7" t="s">
        <v>1383</v>
      </c>
      <c r="F1634" s="7" t="s">
        <v>8416</v>
      </c>
      <c r="G1634" s="7" t="s">
        <v>8417</v>
      </c>
      <c r="H1634" s="7" t="s">
        <v>8418</v>
      </c>
      <c r="I1634" s="7" t="s">
        <v>8418</v>
      </c>
      <c r="J1634" s="7" t="s">
        <v>8419</v>
      </c>
      <c r="K1634" s="7" t="s">
        <v>68</v>
      </c>
      <c r="L1634" s="7" t="s">
        <v>3055</v>
      </c>
      <c r="M1634" s="7">
        <v>6</v>
      </c>
      <c r="N1634" s="7">
        <v>28</v>
      </c>
      <c r="O1634" s="7" t="s">
        <v>42</v>
      </c>
      <c r="P1634" s="7" t="s">
        <v>43</v>
      </c>
      <c r="Q1634" s="7">
        <v>0</v>
      </c>
      <c r="R1634" s="7">
        <v>0</v>
      </c>
      <c r="S1634" s="7">
        <v>0</v>
      </c>
      <c r="T1634" s="7">
        <v>0</v>
      </c>
      <c r="U1634" s="7">
        <v>9</v>
      </c>
      <c r="V1634" s="7" t="s">
        <v>8420</v>
      </c>
      <c r="W1634" s="7">
        <v>0</v>
      </c>
      <c r="X1634" s="7">
        <v>9</v>
      </c>
      <c r="Y1634" s="7">
        <v>8</v>
      </c>
      <c r="Z1634" s="7">
        <v>3</v>
      </c>
      <c r="AA1634" s="7">
        <v>1</v>
      </c>
      <c r="AB1634" s="7">
        <v>1</v>
      </c>
      <c r="AC1634" s="7" t="s">
        <v>0</v>
      </c>
      <c r="AD1634" s="7">
        <v>1</v>
      </c>
      <c r="AE1634" s="7" t="s">
        <v>532</v>
      </c>
    </row>
    <row r="1635" spans="1:31" ht="51" x14ac:dyDescent="0.2">
      <c r="A1635" s="8" t="str">
        <f>HYPERLINK("http://www.patentics.cn/invokexml.do?sx=showpatent_cn&amp;sf=ShowPatent&amp;spn=CN101765197B&amp;sx=showpatent_cn&amp;sv=2167a09fb94d57c9a8b5cfd1ea8e6809","CN101765197B")</f>
        <v>CN101765197B</v>
      </c>
      <c r="B1635" s="9" t="s">
        <v>8421</v>
      </c>
      <c r="C1635" s="9" t="s">
        <v>8422</v>
      </c>
      <c r="D1635" s="9" t="s">
        <v>301</v>
      </c>
      <c r="E1635" s="9" t="s">
        <v>301</v>
      </c>
      <c r="F1635" s="9" t="s">
        <v>8423</v>
      </c>
      <c r="G1635" s="9" t="s">
        <v>8424</v>
      </c>
      <c r="H1635" s="9" t="s">
        <v>8425</v>
      </c>
      <c r="I1635" s="9" t="s">
        <v>8426</v>
      </c>
      <c r="J1635" s="9" t="s">
        <v>2178</v>
      </c>
      <c r="K1635" s="9" t="s">
        <v>55</v>
      </c>
      <c r="L1635" s="9" t="s">
        <v>8427</v>
      </c>
      <c r="M1635" s="9">
        <v>15</v>
      </c>
      <c r="N1635" s="9">
        <v>11</v>
      </c>
      <c r="O1635" s="9" t="s">
        <v>57</v>
      </c>
      <c r="P1635" s="9" t="s">
        <v>58</v>
      </c>
      <c r="Q1635" s="9">
        <v>6</v>
      </c>
      <c r="R1635" s="9">
        <v>0</v>
      </c>
      <c r="S1635" s="9">
        <v>6</v>
      </c>
      <c r="T1635" s="9">
        <v>5</v>
      </c>
      <c r="U1635" s="9">
        <v>0</v>
      </c>
      <c r="V1635" s="9" t="s">
        <v>114</v>
      </c>
      <c r="W1635" s="9">
        <v>0</v>
      </c>
      <c r="X1635" s="9">
        <v>0</v>
      </c>
      <c r="Y1635" s="9">
        <v>0</v>
      </c>
      <c r="Z1635" s="9">
        <v>0</v>
      </c>
      <c r="AA1635" s="9">
        <v>34</v>
      </c>
      <c r="AB1635" s="9">
        <v>13</v>
      </c>
      <c r="AC1635" s="9">
        <v>14</v>
      </c>
      <c r="AD1635" s="9" t="s">
        <v>0</v>
      </c>
      <c r="AE1635" s="9" t="s">
        <v>60</v>
      </c>
    </row>
    <row r="1636" spans="1:31" ht="25.5" x14ac:dyDescent="0.2">
      <c r="A1636" s="6" t="str">
        <f>HYPERLINK("http://www.patentics.cn/invokexml.do?sx=showpatent_cn&amp;sf=ShowPatent&amp;spn=CN1293428&amp;sx=showpatent_cn&amp;sv=8de093c574df8196dca6b9cc745bf7ef","CN1293428")</f>
        <v>CN1293428</v>
      </c>
      <c r="B1636" s="7" t="s">
        <v>8428</v>
      </c>
      <c r="C1636" s="7" t="s">
        <v>8429</v>
      </c>
      <c r="D1636" s="7" t="s">
        <v>1383</v>
      </c>
      <c r="E1636" s="7" t="s">
        <v>1383</v>
      </c>
      <c r="F1636" s="7" t="s">
        <v>8430</v>
      </c>
      <c r="G1636" s="7" t="s">
        <v>8431</v>
      </c>
      <c r="H1636" s="7" t="s">
        <v>8432</v>
      </c>
      <c r="I1636" s="7" t="s">
        <v>8432</v>
      </c>
      <c r="J1636" s="7" t="s">
        <v>8433</v>
      </c>
      <c r="K1636" s="7" t="s">
        <v>1486</v>
      </c>
      <c r="L1636" s="7" t="s">
        <v>7326</v>
      </c>
      <c r="M1636" s="7">
        <v>7</v>
      </c>
      <c r="N1636" s="7">
        <v>112</v>
      </c>
      <c r="O1636" s="7" t="s">
        <v>42</v>
      </c>
      <c r="P1636" s="7" t="s">
        <v>43</v>
      </c>
      <c r="Q1636" s="7">
        <v>0</v>
      </c>
      <c r="R1636" s="7">
        <v>0</v>
      </c>
      <c r="S1636" s="7">
        <v>0</v>
      </c>
      <c r="T1636" s="7">
        <v>0</v>
      </c>
      <c r="U1636" s="7">
        <v>26</v>
      </c>
      <c r="V1636" s="7" t="s">
        <v>8434</v>
      </c>
      <c r="W1636" s="7">
        <v>1</v>
      </c>
      <c r="X1636" s="7">
        <v>25</v>
      </c>
      <c r="Y1636" s="7">
        <v>20</v>
      </c>
      <c r="Z1636" s="7">
        <v>3</v>
      </c>
      <c r="AA1636" s="7">
        <v>1</v>
      </c>
      <c r="AB1636" s="7">
        <v>1</v>
      </c>
      <c r="AC1636" s="7" t="s">
        <v>0</v>
      </c>
      <c r="AD1636" s="7">
        <v>1</v>
      </c>
      <c r="AE1636" s="7" t="s">
        <v>532</v>
      </c>
    </row>
    <row r="1637" spans="1:31" ht="38.25" x14ac:dyDescent="0.2">
      <c r="A1637" s="8" t="str">
        <f>HYPERLINK("http://www.patentics.cn/invokexml.do?sx=showpatent_cn&amp;sf=ShowPatent&amp;spn=CN1653519B&amp;sx=showpatent_cn&amp;sv=912a6be0c6762f179635b74aaffa0177","CN1653519B")</f>
        <v>CN1653519B</v>
      </c>
      <c r="B1637" s="9" t="s">
        <v>8435</v>
      </c>
      <c r="C1637" s="9" t="s">
        <v>8436</v>
      </c>
      <c r="D1637" s="9" t="s">
        <v>301</v>
      </c>
      <c r="E1637" s="9" t="s">
        <v>301</v>
      </c>
      <c r="F1637" s="9" t="s">
        <v>8437</v>
      </c>
      <c r="G1637" s="9" t="s">
        <v>8438</v>
      </c>
      <c r="H1637" s="9" t="s">
        <v>8439</v>
      </c>
      <c r="I1637" s="9" t="s">
        <v>4802</v>
      </c>
      <c r="J1637" s="9" t="s">
        <v>8440</v>
      </c>
      <c r="K1637" s="9" t="s">
        <v>1486</v>
      </c>
      <c r="L1637" s="9" t="s">
        <v>8441</v>
      </c>
      <c r="M1637" s="9">
        <v>25</v>
      </c>
      <c r="N1637" s="9">
        <v>20</v>
      </c>
      <c r="O1637" s="9" t="s">
        <v>57</v>
      </c>
      <c r="P1637" s="9" t="s">
        <v>58</v>
      </c>
      <c r="Q1637" s="9">
        <v>6</v>
      </c>
      <c r="R1637" s="9">
        <v>1</v>
      </c>
      <c r="S1637" s="9">
        <v>5</v>
      </c>
      <c r="T1637" s="9">
        <v>6</v>
      </c>
      <c r="U1637" s="9">
        <v>0</v>
      </c>
      <c r="V1637" s="9" t="s">
        <v>114</v>
      </c>
      <c r="W1637" s="9">
        <v>0</v>
      </c>
      <c r="X1637" s="9">
        <v>0</v>
      </c>
      <c r="Y1637" s="9">
        <v>0</v>
      </c>
      <c r="Z1637" s="9">
        <v>0</v>
      </c>
      <c r="AA1637" s="9">
        <v>8</v>
      </c>
      <c r="AB1637" s="9">
        <v>6</v>
      </c>
      <c r="AC1637" s="9">
        <v>14</v>
      </c>
      <c r="AD1637" s="9" t="s">
        <v>0</v>
      </c>
      <c r="AE1637" s="9" t="s">
        <v>60</v>
      </c>
    </row>
    <row r="1638" spans="1:31" ht="25.5" x14ac:dyDescent="0.2">
      <c r="A1638" s="6" t="str">
        <f>HYPERLINK("http://www.patentics.cn/invokexml.do?sx=showpatent_cn&amp;sf=ShowPatent&amp;spn=CN1265751&amp;sx=showpatent_cn&amp;sv=fee7fc3d7682e6fbe0698a5c3af9f300","CN1265751")</f>
        <v>CN1265751</v>
      </c>
      <c r="B1638" s="7" t="s">
        <v>8442</v>
      </c>
      <c r="C1638" s="7" t="s">
        <v>8443</v>
      </c>
      <c r="D1638" s="7" t="s">
        <v>8444</v>
      </c>
      <c r="E1638" s="7" t="s">
        <v>6620</v>
      </c>
      <c r="F1638" s="7" t="s">
        <v>8445</v>
      </c>
      <c r="G1638" s="7" t="s">
        <v>8446</v>
      </c>
      <c r="H1638" s="7" t="s">
        <v>8447</v>
      </c>
      <c r="I1638" s="7" t="s">
        <v>8448</v>
      </c>
      <c r="J1638" s="7" t="s">
        <v>8449</v>
      </c>
      <c r="K1638" s="7" t="s">
        <v>8450</v>
      </c>
      <c r="L1638" s="7" t="s">
        <v>8451</v>
      </c>
      <c r="M1638" s="7">
        <v>21</v>
      </c>
      <c r="N1638" s="7">
        <v>14</v>
      </c>
      <c r="O1638" s="7" t="s">
        <v>42</v>
      </c>
      <c r="P1638" s="7" t="s">
        <v>58</v>
      </c>
      <c r="Q1638" s="7">
        <v>0</v>
      </c>
      <c r="R1638" s="7">
        <v>0</v>
      </c>
      <c r="S1638" s="7">
        <v>0</v>
      </c>
      <c r="T1638" s="7">
        <v>0</v>
      </c>
      <c r="U1638" s="7">
        <v>3</v>
      </c>
      <c r="V1638" s="7" t="s">
        <v>8452</v>
      </c>
      <c r="W1638" s="7">
        <v>0</v>
      </c>
      <c r="X1638" s="7">
        <v>3</v>
      </c>
      <c r="Y1638" s="7">
        <v>3</v>
      </c>
      <c r="Z1638" s="7">
        <v>2</v>
      </c>
      <c r="AA1638" s="7">
        <v>18</v>
      </c>
      <c r="AB1638" s="7">
        <v>13</v>
      </c>
      <c r="AC1638" s="7" t="s">
        <v>0</v>
      </c>
      <c r="AD1638" s="7">
        <v>1</v>
      </c>
      <c r="AE1638" s="7" t="s">
        <v>532</v>
      </c>
    </row>
    <row r="1639" spans="1:31" ht="38.25" x14ac:dyDescent="0.2">
      <c r="A1639" s="8" t="str">
        <f>HYPERLINK("http://www.patentics.cn/invokexml.do?sx=showpatent_cn&amp;sf=ShowPatent&amp;spn=CN103688277B&amp;sx=showpatent_cn&amp;sv=a6e9d20cc28b78a104f520936ddafa27","CN103688277B")</f>
        <v>CN103688277B</v>
      </c>
      <c r="B1639" s="9" t="s">
        <v>8453</v>
      </c>
      <c r="C1639" s="9" t="s">
        <v>8454</v>
      </c>
      <c r="D1639" s="9" t="s">
        <v>301</v>
      </c>
      <c r="E1639" s="9" t="s">
        <v>301</v>
      </c>
      <c r="F1639" s="9" t="s">
        <v>8455</v>
      </c>
      <c r="G1639" s="9" t="s">
        <v>5754</v>
      </c>
      <c r="H1639" s="9" t="s">
        <v>8456</v>
      </c>
      <c r="I1639" s="9" t="s">
        <v>4953</v>
      </c>
      <c r="J1639" s="9" t="s">
        <v>5112</v>
      </c>
      <c r="K1639" s="9" t="s">
        <v>869</v>
      </c>
      <c r="L1639" s="9" t="s">
        <v>875</v>
      </c>
      <c r="M1639" s="9">
        <v>57</v>
      </c>
      <c r="N1639" s="9">
        <v>14</v>
      </c>
      <c r="O1639" s="9" t="s">
        <v>57</v>
      </c>
      <c r="P1639" s="9" t="s">
        <v>58</v>
      </c>
      <c r="Q1639" s="9">
        <v>4</v>
      </c>
      <c r="R1639" s="9">
        <v>0</v>
      </c>
      <c r="S1639" s="9">
        <v>4</v>
      </c>
      <c r="T1639" s="9">
        <v>2</v>
      </c>
      <c r="U1639" s="9">
        <v>0</v>
      </c>
      <c r="V1639" s="9" t="s">
        <v>114</v>
      </c>
      <c r="W1639" s="9">
        <v>0</v>
      </c>
      <c r="X1639" s="9">
        <v>0</v>
      </c>
      <c r="Y1639" s="9">
        <v>0</v>
      </c>
      <c r="Z1639" s="9">
        <v>0</v>
      </c>
      <c r="AA1639" s="9">
        <v>15</v>
      </c>
      <c r="AB1639" s="9">
        <v>9</v>
      </c>
      <c r="AC1639" s="9">
        <v>14</v>
      </c>
      <c r="AD1639" s="9" t="s">
        <v>0</v>
      </c>
      <c r="AE1639" s="9" t="s">
        <v>60</v>
      </c>
    </row>
    <row r="1640" spans="1:31" ht="38.25" x14ac:dyDescent="0.2">
      <c r="A1640" s="6" t="str">
        <f>HYPERLINK("http://www.patentics.cn/invokexml.do?sx=showpatent_cn&amp;sf=ShowPatent&amp;spn=CN1227993&amp;sx=showpatent_cn&amp;sv=8af9fdb40411368ded2f15aac7ec61ac","CN1227993")</f>
        <v>CN1227993</v>
      </c>
      <c r="B1640" s="7" t="s">
        <v>8457</v>
      </c>
      <c r="C1640" s="7" t="s">
        <v>8458</v>
      </c>
      <c r="D1640" s="7" t="s">
        <v>1097</v>
      </c>
      <c r="E1640" s="7" t="s">
        <v>1097</v>
      </c>
      <c r="F1640" s="7" t="s">
        <v>8459</v>
      </c>
      <c r="G1640" s="7" t="s">
        <v>5562</v>
      </c>
      <c r="H1640" s="7" t="s">
        <v>8460</v>
      </c>
      <c r="I1640" s="7" t="s">
        <v>8460</v>
      </c>
      <c r="J1640" s="7" t="s">
        <v>8461</v>
      </c>
      <c r="K1640" s="7" t="s">
        <v>40</v>
      </c>
      <c r="L1640" s="7" t="s">
        <v>8121</v>
      </c>
      <c r="M1640" s="7">
        <v>5</v>
      </c>
      <c r="N1640" s="7">
        <v>15</v>
      </c>
      <c r="O1640" s="7" t="s">
        <v>42</v>
      </c>
      <c r="P1640" s="7" t="s">
        <v>43</v>
      </c>
      <c r="Q1640" s="7">
        <v>0</v>
      </c>
      <c r="R1640" s="7">
        <v>0</v>
      </c>
      <c r="S1640" s="7">
        <v>0</v>
      </c>
      <c r="T1640" s="7">
        <v>0</v>
      </c>
      <c r="U1640" s="7">
        <v>8</v>
      </c>
      <c r="V1640" s="7" t="s">
        <v>3064</v>
      </c>
      <c r="W1640" s="7">
        <v>0</v>
      </c>
      <c r="X1640" s="7">
        <v>8</v>
      </c>
      <c r="Y1640" s="7">
        <v>3</v>
      </c>
      <c r="Z1640" s="7">
        <v>3</v>
      </c>
      <c r="AA1640" s="7">
        <v>1</v>
      </c>
      <c r="AB1640" s="7">
        <v>1</v>
      </c>
      <c r="AC1640" s="7" t="s">
        <v>0</v>
      </c>
      <c r="AD1640" s="7">
        <v>1</v>
      </c>
      <c r="AE1640" s="7" t="s">
        <v>532</v>
      </c>
    </row>
    <row r="1641" spans="1:31" ht="204" x14ac:dyDescent="0.2">
      <c r="A1641" s="8" t="str">
        <f>HYPERLINK("http://www.patentics.cn/invokexml.do?sx=showpatent_cn&amp;sf=ShowPatent&amp;spn=CN101292471B&amp;sx=showpatent_cn&amp;sv=5983109dc672e7967d39cc8f452ca653","CN101292471B")</f>
        <v>CN101292471B</v>
      </c>
      <c r="B1641" s="9" t="s">
        <v>8462</v>
      </c>
      <c r="C1641" s="9" t="s">
        <v>8463</v>
      </c>
      <c r="D1641" s="9" t="s">
        <v>301</v>
      </c>
      <c r="E1641" s="9" t="s">
        <v>301</v>
      </c>
      <c r="F1641" s="9" t="s">
        <v>8464</v>
      </c>
      <c r="G1641" s="9" t="s">
        <v>8465</v>
      </c>
      <c r="H1641" s="9" t="s">
        <v>2925</v>
      </c>
      <c r="I1641" s="9" t="s">
        <v>8466</v>
      </c>
      <c r="J1641" s="9" t="s">
        <v>1183</v>
      </c>
      <c r="K1641" s="9" t="s">
        <v>68</v>
      </c>
      <c r="L1641" s="9" t="s">
        <v>1946</v>
      </c>
      <c r="M1641" s="9">
        <v>1</v>
      </c>
      <c r="N1641" s="9">
        <v>23</v>
      </c>
      <c r="O1641" s="9" t="s">
        <v>57</v>
      </c>
      <c r="P1641" s="9" t="s">
        <v>58</v>
      </c>
      <c r="Q1641" s="9">
        <v>4</v>
      </c>
      <c r="R1641" s="9">
        <v>2</v>
      </c>
      <c r="S1641" s="9">
        <v>2</v>
      </c>
      <c r="T1641" s="9">
        <v>2</v>
      </c>
      <c r="U1641" s="9">
        <v>0</v>
      </c>
      <c r="V1641" s="9" t="s">
        <v>114</v>
      </c>
      <c r="W1641" s="9">
        <v>0</v>
      </c>
      <c r="X1641" s="9">
        <v>0</v>
      </c>
      <c r="Y1641" s="9">
        <v>0</v>
      </c>
      <c r="Z1641" s="9">
        <v>0</v>
      </c>
      <c r="AA1641" s="9">
        <v>37</v>
      </c>
      <c r="AB1641" s="9">
        <v>8</v>
      </c>
      <c r="AC1641" s="9">
        <v>14</v>
      </c>
      <c r="AD1641" s="9" t="s">
        <v>0</v>
      </c>
      <c r="AE1641" s="9" t="s">
        <v>60</v>
      </c>
    </row>
    <row r="1642" spans="1:31" ht="38.25" x14ac:dyDescent="0.2">
      <c r="A1642" s="6" t="str">
        <f>HYPERLINK("http://www.patentics.cn/invokexml.do?sx=showpatent_cn&amp;sf=ShowPatent&amp;spn=CN1209696&amp;sx=showpatent_cn&amp;sv=4464b0f495cbd9babf411f23f832135a","CN1209696")</f>
        <v>CN1209696</v>
      </c>
      <c r="B1642" s="7" t="s">
        <v>8467</v>
      </c>
      <c r="C1642" s="7" t="s">
        <v>8468</v>
      </c>
      <c r="D1642" s="7" t="s">
        <v>8469</v>
      </c>
      <c r="E1642" s="7" t="s">
        <v>8470</v>
      </c>
      <c r="F1642" s="7" t="s">
        <v>8471</v>
      </c>
      <c r="G1642" s="7" t="s">
        <v>8472</v>
      </c>
      <c r="H1642" s="7" t="s">
        <v>8473</v>
      </c>
      <c r="I1642" s="7" t="s">
        <v>8474</v>
      </c>
      <c r="J1642" s="7" t="s">
        <v>8475</v>
      </c>
      <c r="K1642" s="7" t="s">
        <v>40</v>
      </c>
      <c r="L1642" s="7" t="s">
        <v>2090</v>
      </c>
      <c r="M1642" s="7">
        <v>11</v>
      </c>
      <c r="N1642" s="7">
        <v>26</v>
      </c>
      <c r="O1642" s="7" t="s">
        <v>42</v>
      </c>
      <c r="P1642" s="7" t="s">
        <v>8476</v>
      </c>
      <c r="Q1642" s="7">
        <v>4</v>
      </c>
      <c r="R1642" s="7">
        <v>0</v>
      </c>
      <c r="S1642" s="7">
        <v>4</v>
      </c>
      <c r="T1642" s="7">
        <v>4</v>
      </c>
      <c r="U1642" s="7">
        <v>2</v>
      </c>
      <c r="V1642" s="7" t="s">
        <v>1389</v>
      </c>
      <c r="W1642" s="7">
        <v>0</v>
      </c>
      <c r="X1642" s="7">
        <v>2</v>
      </c>
      <c r="Y1642" s="7">
        <v>2</v>
      </c>
      <c r="Z1642" s="7">
        <v>2</v>
      </c>
      <c r="AA1642" s="7">
        <v>5</v>
      </c>
      <c r="AB1642" s="7">
        <v>5</v>
      </c>
      <c r="AC1642" s="7" t="s">
        <v>0</v>
      </c>
      <c r="AD1642" s="7">
        <v>1</v>
      </c>
      <c r="AE1642" s="7" t="s">
        <v>532</v>
      </c>
    </row>
    <row r="1643" spans="1:31" ht="51" x14ac:dyDescent="0.2">
      <c r="A1643" s="8" t="str">
        <f>HYPERLINK("http://www.patentics.cn/invokexml.do?sx=showpatent_cn&amp;sf=ShowPatent&amp;spn=CN1714515B&amp;sx=showpatent_cn&amp;sv=cd47c91ad9dfe5d26a27a3f3dada8e0f","CN1714515B")</f>
        <v>CN1714515B</v>
      </c>
      <c r="B1643" s="9" t="s">
        <v>8477</v>
      </c>
      <c r="C1643" s="9" t="s">
        <v>8478</v>
      </c>
      <c r="D1643" s="9" t="s">
        <v>301</v>
      </c>
      <c r="E1643" s="9" t="s">
        <v>301</v>
      </c>
      <c r="F1643" s="9" t="s">
        <v>8479</v>
      </c>
      <c r="G1643" s="9" t="s">
        <v>8480</v>
      </c>
      <c r="H1643" s="9" t="s">
        <v>8268</v>
      </c>
      <c r="I1643" s="9" t="s">
        <v>611</v>
      </c>
      <c r="J1643" s="9" t="s">
        <v>8481</v>
      </c>
      <c r="K1643" s="9" t="s">
        <v>89</v>
      </c>
      <c r="L1643" s="9" t="s">
        <v>2680</v>
      </c>
      <c r="M1643" s="9">
        <v>27</v>
      </c>
      <c r="N1643" s="9">
        <v>18</v>
      </c>
      <c r="O1643" s="9" t="s">
        <v>57</v>
      </c>
      <c r="P1643" s="9" t="s">
        <v>58</v>
      </c>
      <c r="Q1643" s="9">
        <v>6</v>
      </c>
      <c r="R1643" s="9">
        <v>3</v>
      </c>
      <c r="S1643" s="9">
        <v>3</v>
      </c>
      <c r="T1643" s="9">
        <v>4</v>
      </c>
      <c r="U1643" s="9">
        <v>0</v>
      </c>
      <c r="V1643" s="9" t="s">
        <v>114</v>
      </c>
      <c r="W1643" s="9">
        <v>0</v>
      </c>
      <c r="X1643" s="9">
        <v>0</v>
      </c>
      <c r="Y1643" s="9">
        <v>0</v>
      </c>
      <c r="Z1643" s="9">
        <v>0</v>
      </c>
      <c r="AA1643" s="9">
        <v>8</v>
      </c>
      <c r="AB1643" s="9">
        <v>6</v>
      </c>
      <c r="AC1643" s="9">
        <v>14</v>
      </c>
      <c r="AD1643" s="9" t="s">
        <v>0</v>
      </c>
      <c r="AE1643" s="9" t="s">
        <v>532</v>
      </c>
    </row>
    <row r="1644" spans="1:31" ht="25.5" x14ac:dyDescent="0.2">
      <c r="A1644" s="6" t="str">
        <f>HYPERLINK("http://www.patentics.cn/invokexml.do?sx=showpatent_cn&amp;sf=ShowPatent&amp;spn=CN1206950&amp;sx=showpatent_cn&amp;sv=410eb6a6e0c46287580504443eeeeaf3","CN1206950")</f>
        <v>CN1206950</v>
      </c>
      <c r="B1644" s="7" t="s">
        <v>8482</v>
      </c>
      <c r="C1644" s="7" t="s">
        <v>8483</v>
      </c>
      <c r="D1644" s="7" t="s">
        <v>1383</v>
      </c>
      <c r="E1644" s="7" t="s">
        <v>1383</v>
      </c>
      <c r="F1644" s="7" t="s">
        <v>8484</v>
      </c>
      <c r="G1644" s="7" t="s">
        <v>8485</v>
      </c>
      <c r="H1644" s="7" t="s">
        <v>8486</v>
      </c>
      <c r="I1644" s="7" t="s">
        <v>8486</v>
      </c>
      <c r="J1644" s="7" t="s">
        <v>8487</v>
      </c>
      <c r="K1644" s="7" t="s">
        <v>3123</v>
      </c>
      <c r="L1644" s="7" t="s">
        <v>8488</v>
      </c>
      <c r="M1644" s="7">
        <v>1</v>
      </c>
      <c r="N1644" s="7">
        <v>56</v>
      </c>
      <c r="O1644" s="7" t="s">
        <v>42</v>
      </c>
      <c r="P1644" s="7" t="s">
        <v>43</v>
      </c>
      <c r="Q1644" s="7">
        <v>0</v>
      </c>
      <c r="R1644" s="7">
        <v>0</v>
      </c>
      <c r="S1644" s="7">
        <v>0</v>
      </c>
      <c r="T1644" s="7">
        <v>0</v>
      </c>
      <c r="U1644" s="7">
        <v>9</v>
      </c>
      <c r="V1644" s="7" t="s">
        <v>8489</v>
      </c>
      <c r="W1644" s="7">
        <v>0</v>
      </c>
      <c r="X1644" s="7">
        <v>9</v>
      </c>
      <c r="Y1644" s="7">
        <v>8</v>
      </c>
      <c r="Z1644" s="7">
        <v>2</v>
      </c>
      <c r="AA1644" s="7">
        <v>1</v>
      </c>
      <c r="AB1644" s="7">
        <v>1</v>
      </c>
      <c r="AC1644" s="7" t="s">
        <v>0</v>
      </c>
      <c r="AD1644" s="7">
        <v>1</v>
      </c>
      <c r="AE1644" s="7" t="s">
        <v>532</v>
      </c>
    </row>
    <row r="1645" spans="1:31" ht="25.5" x14ac:dyDescent="0.2">
      <c r="A1645" s="8" t="str">
        <f>HYPERLINK("http://www.patentics.cn/invokexml.do?sx=showpatent_cn&amp;sf=ShowPatent&amp;spn=CN101663819B&amp;sx=showpatent_cn&amp;sv=c64cda96aacd6a5125120261461b8f21","CN101663819B")</f>
        <v>CN101663819B</v>
      </c>
      <c r="B1645" s="9" t="s">
        <v>8490</v>
      </c>
      <c r="C1645" s="9" t="s">
        <v>8491</v>
      </c>
      <c r="D1645" s="9" t="s">
        <v>301</v>
      </c>
      <c r="E1645" s="9" t="s">
        <v>301</v>
      </c>
      <c r="F1645" s="9" t="s">
        <v>8492</v>
      </c>
      <c r="G1645" s="9" t="s">
        <v>8492</v>
      </c>
      <c r="H1645" s="9" t="s">
        <v>6286</v>
      </c>
      <c r="I1645" s="9" t="s">
        <v>8493</v>
      </c>
      <c r="J1645" s="9" t="s">
        <v>4185</v>
      </c>
      <c r="K1645" s="9" t="s">
        <v>1529</v>
      </c>
      <c r="L1645" s="9" t="s">
        <v>5093</v>
      </c>
      <c r="M1645" s="9">
        <v>23</v>
      </c>
      <c r="N1645" s="9">
        <v>26</v>
      </c>
      <c r="O1645" s="9" t="s">
        <v>57</v>
      </c>
      <c r="P1645" s="9" t="s">
        <v>58</v>
      </c>
      <c r="Q1645" s="9">
        <v>4</v>
      </c>
      <c r="R1645" s="9">
        <v>0</v>
      </c>
      <c r="S1645" s="9">
        <v>4</v>
      </c>
      <c r="T1645" s="9">
        <v>4</v>
      </c>
      <c r="U1645" s="9">
        <v>0</v>
      </c>
      <c r="V1645" s="9" t="s">
        <v>114</v>
      </c>
      <c r="W1645" s="9">
        <v>0</v>
      </c>
      <c r="X1645" s="9">
        <v>0</v>
      </c>
      <c r="Y1645" s="9">
        <v>0</v>
      </c>
      <c r="Z1645" s="9">
        <v>0</v>
      </c>
      <c r="AA1645" s="9">
        <v>11</v>
      </c>
      <c r="AB1645" s="9">
        <v>7</v>
      </c>
      <c r="AC1645" s="9">
        <v>14</v>
      </c>
      <c r="AD1645" s="9" t="s">
        <v>0</v>
      </c>
      <c r="AE1645" s="9" t="s">
        <v>60</v>
      </c>
    </row>
    <row r="1646" spans="1:31" x14ac:dyDescent="0.2">
      <c r="A1646" s="6" t="str">
        <f>HYPERLINK("http://www.patentics.cn/invokexml.do?sx=showpatent_cn&amp;sf=ShowPatent&amp;spn=CN1174634&amp;sx=showpatent_cn&amp;sv=dd9a56003f3fc90403d74096db756ead","CN1174634")</f>
        <v>CN1174634</v>
      </c>
      <c r="B1646" s="7" t="s">
        <v>8494</v>
      </c>
      <c r="C1646" s="7" t="s">
        <v>8495</v>
      </c>
      <c r="D1646" s="7" t="s">
        <v>8496</v>
      </c>
      <c r="E1646" s="7" t="s">
        <v>8496</v>
      </c>
      <c r="F1646" s="7" t="s">
        <v>8497</v>
      </c>
      <c r="G1646" s="7" t="s">
        <v>8497</v>
      </c>
      <c r="H1646" s="7" t="s">
        <v>8498</v>
      </c>
      <c r="I1646" s="7" t="s">
        <v>8499</v>
      </c>
      <c r="J1646" s="7" t="s">
        <v>8500</v>
      </c>
      <c r="K1646" s="7" t="s">
        <v>2207</v>
      </c>
      <c r="L1646" s="7" t="s">
        <v>8501</v>
      </c>
      <c r="M1646" s="7">
        <v>17</v>
      </c>
      <c r="N1646" s="7">
        <v>13</v>
      </c>
      <c r="O1646" s="7" t="s">
        <v>42</v>
      </c>
      <c r="P1646" s="7" t="s">
        <v>8502</v>
      </c>
      <c r="Q1646" s="7">
        <v>0</v>
      </c>
      <c r="R1646" s="7">
        <v>0</v>
      </c>
      <c r="S1646" s="7">
        <v>0</v>
      </c>
      <c r="T1646" s="7">
        <v>0</v>
      </c>
      <c r="U1646" s="7">
        <v>8</v>
      </c>
      <c r="V1646" s="7" t="s">
        <v>5291</v>
      </c>
      <c r="W1646" s="7">
        <v>0</v>
      </c>
      <c r="X1646" s="7">
        <v>8</v>
      </c>
      <c r="Y1646" s="7">
        <v>4</v>
      </c>
      <c r="Z1646" s="7">
        <v>3</v>
      </c>
      <c r="AA1646" s="7">
        <v>11</v>
      </c>
      <c r="AB1646" s="7">
        <v>7</v>
      </c>
      <c r="AC1646" s="7" t="s">
        <v>0</v>
      </c>
      <c r="AD1646" s="7">
        <v>1</v>
      </c>
      <c r="AE1646" s="7" t="s">
        <v>532</v>
      </c>
    </row>
    <row r="1647" spans="1:31" ht="38.25" x14ac:dyDescent="0.2">
      <c r="A1647" s="8" t="str">
        <f>HYPERLINK("http://www.patentics.cn/invokexml.do?sx=showpatent_cn&amp;sf=ShowPatent&amp;spn=CN100521666C&amp;sx=showpatent_cn&amp;sv=c1110a67e5941c70eadc65d2f9089cd1","CN100521666C")</f>
        <v>CN100521666C</v>
      </c>
      <c r="B1647" s="9" t="s">
        <v>8503</v>
      </c>
      <c r="C1647" s="9" t="s">
        <v>8504</v>
      </c>
      <c r="D1647" s="9" t="s">
        <v>301</v>
      </c>
      <c r="E1647" s="9" t="s">
        <v>301</v>
      </c>
      <c r="F1647" s="9" t="s">
        <v>8505</v>
      </c>
      <c r="G1647" s="9" t="s">
        <v>8138</v>
      </c>
      <c r="H1647" s="9" t="s">
        <v>8506</v>
      </c>
      <c r="I1647" s="9" t="s">
        <v>8301</v>
      </c>
      <c r="J1647" s="9" t="s">
        <v>2660</v>
      </c>
      <c r="K1647" s="9" t="s">
        <v>68</v>
      </c>
      <c r="L1647" s="9" t="s">
        <v>218</v>
      </c>
      <c r="M1647" s="9">
        <v>37</v>
      </c>
      <c r="N1647" s="9">
        <v>19</v>
      </c>
      <c r="O1647" s="9" t="s">
        <v>57</v>
      </c>
      <c r="P1647" s="9" t="s">
        <v>58</v>
      </c>
      <c r="Q1647" s="9">
        <v>4</v>
      </c>
      <c r="R1647" s="9">
        <v>0</v>
      </c>
      <c r="S1647" s="9">
        <v>4</v>
      </c>
      <c r="T1647" s="9">
        <v>4</v>
      </c>
      <c r="U1647" s="9">
        <v>0</v>
      </c>
      <c r="V1647" s="9" t="s">
        <v>114</v>
      </c>
      <c r="W1647" s="9">
        <v>0</v>
      </c>
      <c r="X1647" s="9">
        <v>0</v>
      </c>
      <c r="Y1647" s="9">
        <v>0</v>
      </c>
      <c r="Z1647" s="9">
        <v>0</v>
      </c>
      <c r="AA1647" s="9">
        <v>16</v>
      </c>
      <c r="AB1647" s="9">
        <v>11</v>
      </c>
      <c r="AC1647" s="9">
        <v>14</v>
      </c>
      <c r="AD1647" s="9" t="s">
        <v>0</v>
      </c>
      <c r="AE1647" s="9" t="s">
        <v>60</v>
      </c>
    </row>
    <row r="1648" spans="1:31" ht="51" x14ac:dyDescent="0.2">
      <c r="A1648" s="6" t="str">
        <f>HYPERLINK("http://www.patentics.cn/invokexml.do?sx=showpatent_cn&amp;sf=ShowPatent&amp;spn=CN1115890&amp;sx=showpatent_cn&amp;sv=024761dd73495108b18d3ae21ce0ea1d","CN1115890")</f>
        <v>CN1115890</v>
      </c>
      <c r="B1648" s="7" t="s">
        <v>8507</v>
      </c>
      <c r="C1648" s="7" t="s">
        <v>8508</v>
      </c>
      <c r="D1648" s="7" t="s">
        <v>1383</v>
      </c>
      <c r="E1648" s="7" t="s">
        <v>1383</v>
      </c>
      <c r="F1648" s="7" t="s">
        <v>8509</v>
      </c>
      <c r="G1648" s="7" t="s">
        <v>8510</v>
      </c>
      <c r="H1648" s="7" t="s">
        <v>8511</v>
      </c>
      <c r="I1648" s="7" t="s">
        <v>8511</v>
      </c>
      <c r="J1648" s="7" t="s">
        <v>4935</v>
      </c>
      <c r="K1648" s="7" t="s">
        <v>885</v>
      </c>
      <c r="L1648" s="7" t="s">
        <v>8512</v>
      </c>
      <c r="M1648" s="7">
        <v>1</v>
      </c>
      <c r="N1648" s="7">
        <v>72</v>
      </c>
      <c r="O1648" s="7" t="s">
        <v>42</v>
      </c>
      <c r="P1648" s="7" t="s">
        <v>43</v>
      </c>
      <c r="Q1648" s="7">
        <v>0</v>
      </c>
      <c r="R1648" s="7">
        <v>0</v>
      </c>
      <c r="S1648" s="7">
        <v>0</v>
      </c>
      <c r="T1648" s="7">
        <v>0</v>
      </c>
      <c r="U1648" s="7">
        <v>2</v>
      </c>
      <c r="V1648" s="7" t="s">
        <v>3355</v>
      </c>
      <c r="W1648" s="7">
        <v>0</v>
      </c>
      <c r="X1648" s="7">
        <v>2</v>
      </c>
      <c r="Y1648" s="7">
        <v>2</v>
      </c>
      <c r="Z1648" s="7">
        <v>2</v>
      </c>
      <c r="AA1648" s="7">
        <v>1</v>
      </c>
      <c r="AB1648" s="7">
        <v>1</v>
      </c>
      <c r="AC1648" s="7" t="s">
        <v>0</v>
      </c>
      <c r="AD1648" s="7">
        <v>1</v>
      </c>
      <c r="AE1648" s="7" t="s">
        <v>532</v>
      </c>
    </row>
    <row r="1649" spans="1:31" ht="25.5" x14ac:dyDescent="0.2">
      <c r="A1649" s="8" t="str">
        <f>HYPERLINK("http://www.patentics.cn/invokexml.do?sx=showpatent_cn&amp;sf=ShowPatent&amp;spn=WO2000069075&amp;sx=showpatent_cn&amp;sv=8b2fbb92224e4d126690b65b76f721de","WO2000069075")</f>
        <v>WO2000069075</v>
      </c>
      <c r="B1649" s="9" t="s">
        <v>8513</v>
      </c>
      <c r="C1649" s="9" t="s">
        <v>8514</v>
      </c>
      <c r="D1649" s="9" t="s">
        <v>117</v>
      </c>
      <c r="E1649" s="9" t="s">
        <v>49</v>
      </c>
      <c r="F1649" s="9" t="s">
        <v>8515</v>
      </c>
      <c r="G1649" s="9" t="s">
        <v>8515</v>
      </c>
      <c r="H1649" s="9" t="s">
        <v>8516</v>
      </c>
      <c r="I1649" s="9" t="s">
        <v>8517</v>
      </c>
      <c r="J1649" s="9" t="s">
        <v>8518</v>
      </c>
      <c r="K1649" s="9" t="s">
        <v>229</v>
      </c>
      <c r="L1649" s="9" t="s">
        <v>8519</v>
      </c>
      <c r="M1649" s="9">
        <v>18</v>
      </c>
      <c r="N1649" s="9">
        <v>9</v>
      </c>
      <c r="O1649" s="9" t="s">
        <v>850</v>
      </c>
      <c r="P1649" s="9" t="s">
        <v>58</v>
      </c>
      <c r="Q1649" s="9">
        <v>2</v>
      </c>
      <c r="R1649" s="9">
        <v>0</v>
      </c>
      <c r="S1649" s="9">
        <v>2</v>
      </c>
      <c r="T1649" s="9">
        <v>2</v>
      </c>
      <c r="U1649" s="9">
        <v>0</v>
      </c>
      <c r="V1649" s="9" t="s">
        <v>114</v>
      </c>
      <c r="W1649" s="9">
        <v>0</v>
      </c>
      <c r="X1649" s="9">
        <v>0</v>
      </c>
      <c r="Y1649" s="9">
        <v>0</v>
      </c>
      <c r="Z1649" s="9">
        <v>0</v>
      </c>
      <c r="AA1649" s="9">
        <v>2</v>
      </c>
      <c r="AB1649" s="9">
        <v>3</v>
      </c>
      <c r="AC1649" s="9">
        <v>14</v>
      </c>
      <c r="AD1649" s="9" t="s">
        <v>0</v>
      </c>
      <c r="AE1649" s="9" t="s">
        <v>0</v>
      </c>
    </row>
    <row r="1650" spans="1:31" ht="25.5" x14ac:dyDescent="0.2">
      <c r="A1650" s="6" t="str">
        <f>HYPERLINK("http://www.patentics.cn/invokexml.do?sx=showpatent_cn&amp;sf=ShowPatent&amp;spn=CN1106601&amp;sx=showpatent_cn&amp;sv=f340125cc99d197c00a201446da88147","CN1106601")</f>
        <v>CN1106601</v>
      </c>
      <c r="B1650" s="7" t="s">
        <v>8520</v>
      </c>
      <c r="C1650" s="7" t="s">
        <v>8521</v>
      </c>
      <c r="D1650" s="7" t="s">
        <v>1383</v>
      </c>
      <c r="E1650" s="7" t="s">
        <v>1383</v>
      </c>
      <c r="F1650" s="7" t="s">
        <v>8522</v>
      </c>
      <c r="G1650" s="7" t="s">
        <v>8523</v>
      </c>
      <c r="H1650" s="7" t="s">
        <v>0</v>
      </c>
      <c r="I1650" s="7" t="s">
        <v>8524</v>
      </c>
      <c r="J1650" s="7" t="s">
        <v>8525</v>
      </c>
      <c r="K1650" s="7" t="s">
        <v>96</v>
      </c>
      <c r="L1650" s="7" t="s">
        <v>1102</v>
      </c>
      <c r="M1650" s="7">
        <v>5</v>
      </c>
      <c r="N1650" s="7">
        <v>36</v>
      </c>
      <c r="O1650" s="7" t="s">
        <v>42</v>
      </c>
      <c r="P1650" s="7" t="s">
        <v>43</v>
      </c>
      <c r="Q1650" s="7">
        <v>0</v>
      </c>
      <c r="R1650" s="7">
        <v>0</v>
      </c>
      <c r="S1650" s="7">
        <v>0</v>
      </c>
      <c r="T1650" s="7">
        <v>0</v>
      </c>
      <c r="U1650" s="7">
        <v>4</v>
      </c>
      <c r="V1650" s="7" t="s">
        <v>8526</v>
      </c>
      <c r="W1650" s="7">
        <v>0</v>
      </c>
      <c r="X1650" s="7">
        <v>4</v>
      </c>
      <c r="Y1650" s="7">
        <v>4</v>
      </c>
      <c r="Z1650" s="7">
        <v>1</v>
      </c>
      <c r="AA1650" s="7">
        <v>0</v>
      </c>
      <c r="AB1650" s="7">
        <v>0</v>
      </c>
      <c r="AC1650" s="7" t="s">
        <v>0</v>
      </c>
      <c r="AD1650" s="7">
        <v>1</v>
      </c>
      <c r="AE1650" s="7" t="s">
        <v>45</v>
      </c>
    </row>
    <row r="1651" spans="1:31" x14ac:dyDescent="0.2">
      <c r="A1651" s="8" t="str">
        <f>HYPERLINK("http://www.patentics.cn/invokexml.do?sx=showpatent_cn&amp;sf=ShowPatent&amp;spn=CN104718786B&amp;sx=showpatent_cn&amp;sv=1f53161cf5ac70b7f7b8aaab5a239f75","CN104718786B")</f>
        <v>CN104718786B</v>
      </c>
      <c r="B1651" s="9" t="s">
        <v>8527</v>
      </c>
      <c r="C1651" s="9" t="s">
        <v>8528</v>
      </c>
      <c r="D1651" s="9" t="s">
        <v>301</v>
      </c>
      <c r="E1651" s="9" t="s">
        <v>301</v>
      </c>
      <c r="F1651" s="9" t="s">
        <v>8529</v>
      </c>
      <c r="G1651" s="9" t="s">
        <v>8529</v>
      </c>
      <c r="H1651" s="9" t="s">
        <v>8530</v>
      </c>
      <c r="I1651" s="9" t="s">
        <v>1214</v>
      </c>
      <c r="J1651" s="9" t="s">
        <v>7169</v>
      </c>
      <c r="K1651" s="9" t="s">
        <v>55</v>
      </c>
      <c r="L1651" s="9" t="s">
        <v>1175</v>
      </c>
      <c r="M1651" s="9">
        <v>25</v>
      </c>
      <c r="N1651" s="9">
        <v>17</v>
      </c>
      <c r="O1651" s="9" t="s">
        <v>57</v>
      </c>
      <c r="P1651" s="9" t="s">
        <v>58</v>
      </c>
      <c r="Q1651" s="9">
        <v>8</v>
      </c>
      <c r="R1651" s="9">
        <v>0</v>
      </c>
      <c r="S1651" s="9">
        <v>8</v>
      </c>
      <c r="T1651" s="9">
        <v>8</v>
      </c>
      <c r="U1651" s="9">
        <v>0</v>
      </c>
      <c r="V1651" s="9" t="s">
        <v>114</v>
      </c>
      <c r="W1651" s="9">
        <v>0</v>
      </c>
      <c r="X1651" s="9">
        <v>0</v>
      </c>
      <c r="Y1651" s="9">
        <v>0</v>
      </c>
      <c r="Z1651" s="9">
        <v>0</v>
      </c>
      <c r="AA1651" s="9">
        <v>0</v>
      </c>
      <c r="AB1651" s="9">
        <v>0</v>
      </c>
      <c r="AC1651" s="9">
        <v>14</v>
      </c>
      <c r="AD1651" s="9" t="s">
        <v>0</v>
      </c>
      <c r="AE1651" s="9" t="s">
        <v>60</v>
      </c>
    </row>
    <row r="1652" spans="1:31" ht="25.5" x14ac:dyDescent="0.2">
      <c r="A1652" s="6" t="str">
        <f>HYPERLINK("http://www.patentics.cn/invokexml.do?sx=showpatent_cn&amp;sf=ShowPatent&amp;spn=CN1079600&amp;sx=showpatent_cn&amp;sv=e93f8f5ec7ca3e9d349158ba53685ec6","CN1079600")</f>
        <v>CN1079600</v>
      </c>
      <c r="B1652" s="7" t="s">
        <v>8531</v>
      </c>
      <c r="C1652" s="7" t="s">
        <v>8532</v>
      </c>
      <c r="D1652" s="7" t="s">
        <v>8533</v>
      </c>
      <c r="E1652" s="7" t="s">
        <v>8533</v>
      </c>
      <c r="F1652" s="7" t="s">
        <v>8534</v>
      </c>
      <c r="G1652" s="7" t="s">
        <v>8535</v>
      </c>
      <c r="H1652" s="7" t="s">
        <v>8536</v>
      </c>
      <c r="I1652" s="7" t="s">
        <v>8536</v>
      </c>
      <c r="J1652" s="7" t="s">
        <v>8537</v>
      </c>
      <c r="K1652" s="7" t="s">
        <v>89</v>
      </c>
      <c r="L1652" s="7" t="s">
        <v>1313</v>
      </c>
      <c r="M1652" s="7">
        <v>1</v>
      </c>
      <c r="N1652" s="7">
        <v>22</v>
      </c>
      <c r="O1652" s="7" t="s">
        <v>42</v>
      </c>
      <c r="P1652" s="7" t="s">
        <v>43</v>
      </c>
      <c r="Q1652" s="7">
        <v>0</v>
      </c>
      <c r="R1652" s="7">
        <v>0</v>
      </c>
      <c r="S1652" s="7">
        <v>0</v>
      </c>
      <c r="T1652" s="7">
        <v>0</v>
      </c>
      <c r="U1652" s="7">
        <v>5</v>
      </c>
      <c r="V1652" s="7" t="s">
        <v>1971</v>
      </c>
      <c r="W1652" s="7">
        <v>0</v>
      </c>
      <c r="X1652" s="7">
        <v>5</v>
      </c>
      <c r="Y1652" s="7">
        <v>3</v>
      </c>
      <c r="Z1652" s="7">
        <v>1</v>
      </c>
      <c r="AA1652" s="7">
        <v>1</v>
      </c>
      <c r="AB1652" s="7">
        <v>1</v>
      </c>
      <c r="AC1652" s="7" t="s">
        <v>0</v>
      </c>
      <c r="AD1652" s="7">
        <v>1</v>
      </c>
      <c r="AE1652" s="7" t="s">
        <v>532</v>
      </c>
    </row>
    <row r="1653" spans="1:31" ht="38.25" x14ac:dyDescent="0.2">
      <c r="A1653" s="8" t="str">
        <f>HYPERLINK("http://www.patentics.cn/invokexml.do?sx=showpatent_cn&amp;sf=ShowPatent&amp;spn=CN101512941B&amp;sx=showpatent_cn&amp;sv=74146d4ed4b60e1cbe745af4a756bb47","CN101512941B")</f>
        <v>CN101512941B</v>
      </c>
      <c r="B1653" s="9" t="s">
        <v>8538</v>
      </c>
      <c r="C1653" s="9" t="s">
        <v>8539</v>
      </c>
      <c r="D1653" s="9" t="s">
        <v>301</v>
      </c>
      <c r="E1653" s="9" t="s">
        <v>301</v>
      </c>
      <c r="F1653" s="9" t="s">
        <v>8540</v>
      </c>
      <c r="G1653" s="9" t="s">
        <v>8541</v>
      </c>
      <c r="H1653" s="9" t="s">
        <v>7332</v>
      </c>
      <c r="I1653" s="9" t="s">
        <v>6983</v>
      </c>
      <c r="J1653" s="9" t="s">
        <v>2845</v>
      </c>
      <c r="K1653" s="9" t="s">
        <v>68</v>
      </c>
      <c r="L1653" s="9" t="s">
        <v>8542</v>
      </c>
      <c r="M1653" s="9">
        <v>13</v>
      </c>
      <c r="N1653" s="9">
        <v>21</v>
      </c>
      <c r="O1653" s="9" t="s">
        <v>57</v>
      </c>
      <c r="P1653" s="9" t="s">
        <v>58</v>
      </c>
      <c r="Q1653" s="9">
        <v>3</v>
      </c>
      <c r="R1653" s="9">
        <v>1</v>
      </c>
      <c r="S1653" s="9">
        <v>2</v>
      </c>
      <c r="T1653" s="9">
        <v>3</v>
      </c>
      <c r="U1653" s="9">
        <v>0</v>
      </c>
      <c r="V1653" s="9" t="s">
        <v>114</v>
      </c>
      <c r="W1653" s="9">
        <v>0</v>
      </c>
      <c r="X1653" s="9">
        <v>0</v>
      </c>
      <c r="Y1653" s="9">
        <v>0</v>
      </c>
      <c r="Z1653" s="9">
        <v>0</v>
      </c>
      <c r="AA1653" s="9">
        <v>10</v>
      </c>
      <c r="AB1653" s="9">
        <v>7</v>
      </c>
      <c r="AC1653" s="9">
        <v>14</v>
      </c>
      <c r="AD1653" s="9" t="s">
        <v>0</v>
      </c>
      <c r="AE1653" s="9" t="s">
        <v>60</v>
      </c>
    </row>
    <row r="1654" spans="1:31" ht="51" x14ac:dyDescent="0.2">
      <c r="A1654" s="6" t="str">
        <f>HYPERLINK("http://www.patentics.cn/invokexml.do?sx=showpatent_cn&amp;sf=ShowPatent&amp;spn=CN1063935&amp;sx=showpatent_cn&amp;sv=e3e343590012e58cb042b5f88ebfda38","CN1063935")</f>
        <v>CN1063935</v>
      </c>
      <c r="B1654" s="7" t="s">
        <v>8543</v>
      </c>
      <c r="C1654" s="7" t="s">
        <v>8544</v>
      </c>
      <c r="D1654" s="7" t="s">
        <v>8545</v>
      </c>
      <c r="E1654" s="7" t="s">
        <v>8545</v>
      </c>
      <c r="F1654" s="7" t="s">
        <v>8546</v>
      </c>
      <c r="G1654" s="7" t="s">
        <v>8547</v>
      </c>
      <c r="H1654" s="7" t="s">
        <v>0</v>
      </c>
      <c r="I1654" s="7" t="s">
        <v>8548</v>
      </c>
      <c r="J1654" s="7" t="s">
        <v>8549</v>
      </c>
      <c r="K1654" s="7" t="s">
        <v>937</v>
      </c>
      <c r="L1654" s="7" t="s">
        <v>8550</v>
      </c>
      <c r="M1654" s="7">
        <v>5</v>
      </c>
      <c r="N1654" s="7">
        <v>42</v>
      </c>
      <c r="O1654" s="7" t="s">
        <v>42</v>
      </c>
      <c r="P1654" s="7" t="s">
        <v>43</v>
      </c>
      <c r="Q1654" s="7">
        <v>1</v>
      </c>
      <c r="R1654" s="7">
        <v>0</v>
      </c>
      <c r="S1654" s="7">
        <v>1</v>
      </c>
      <c r="T1654" s="7">
        <v>0</v>
      </c>
      <c r="U1654" s="7">
        <v>4</v>
      </c>
      <c r="V1654" s="7" t="s">
        <v>4233</v>
      </c>
      <c r="W1654" s="7">
        <v>0</v>
      </c>
      <c r="X1654" s="7">
        <v>4</v>
      </c>
      <c r="Y1654" s="7">
        <v>4</v>
      </c>
      <c r="Z1654" s="7">
        <v>1</v>
      </c>
      <c r="AA1654" s="7">
        <v>0</v>
      </c>
      <c r="AB1654" s="7">
        <v>0</v>
      </c>
      <c r="AC1654" s="7" t="s">
        <v>0</v>
      </c>
      <c r="AD1654" s="7">
        <v>1</v>
      </c>
      <c r="AE1654" s="7" t="s">
        <v>45</v>
      </c>
    </row>
    <row r="1655" spans="1:31" ht="25.5" x14ac:dyDescent="0.2">
      <c r="A1655" s="8" t="str">
        <f>HYPERLINK("http://www.patentics.cn/invokexml.do?sx=showpatent_cn&amp;sf=ShowPatent&amp;spn=CN101311745B&amp;sx=showpatent_cn&amp;sv=a8666fee459c285daedb110a8095c08d","CN101311745B")</f>
        <v>CN101311745B</v>
      </c>
      <c r="B1655" s="9" t="s">
        <v>8551</v>
      </c>
      <c r="C1655" s="9" t="s">
        <v>8552</v>
      </c>
      <c r="D1655" s="9" t="s">
        <v>301</v>
      </c>
      <c r="E1655" s="9" t="s">
        <v>301</v>
      </c>
      <c r="F1655" s="9" t="s">
        <v>8553</v>
      </c>
      <c r="G1655" s="9" t="s">
        <v>8554</v>
      </c>
      <c r="H1655" s="9" t="s">
        <v>8555</v>
      </c>
      <c r="I1655" s="9" t="s">
        <v>8556</v>
      </c>
      <c r="J1655" s="9" t="s">
        <v>3917</v>
      </c>
      <c r="K1655" s="9" t="s">
        <v>1142</v>
      </c>
      <c r="L1655" s="9" t="s">
        <v>1150</v>
      </c>
      <c r="M1655" s="9">
        <v>19</v>
      </c>
      <c r="N1655" s="9">
        <v>18</v>
      </c>
      <c r="O1655" s="9" t="s">
        <v>57</v>
      </c>
      <c r="P1655" s="9" t="s">
        <v>58</v>
      </c>
      <c r="Q1655" s="9">
        <v>5</v>
      </c>
      <c r="R1655" s="9">
        <v>0</v>
      </c>
      <c r="S1655" s="9">
        <v>5</v>
      </c>
      <c r="T1655" s="9">
        <v>5</v>
      </c>
      <c r="U1655" s="9">
        <v>0</v>
      </c>
      <c r="V1655" s="9" t="s">
        <v>114</v>
      </c>
      <c r="W1655" s="9">
        <v>0</v>
      </c>
      <c r="X1655" s="9">
        <v>0</v>
      </c>
      <c r="Y1655" s="9">
        <v>0</v>
      </c>
      <c r="Z1655" s="9">
        <v>0</v>
      </c>
      <c r="AA1655" s="9">
        <v>25</v>
      </c>
      <c r="AB1655" s="9">
        <v>11</v>
      </c>
      <c r="AC1655" s="9">
        <v>14</v>
      </c>
      <c r="AD1655" s="9" t="s">
        <v>0</v>
      </c>
      <c r="AE1655" s="9" t="s">
        <v>532</v>
      </c>
    </row>
    <row r="1656" spans="1:31" x14ac:dyDescent="0.2">
      <c r="A1656" s="6" t="str">
        <f>HYPERLINK("http://www.patentics.cn/invokexml.do?sx=showpatent_cn&amp;sf=ShowPatent&amp;spn=CN1059621&amp;sx=showpatent_cn&amp;sv=c891d92c3afb226924b68a5b41f948a6","CN1059621")</f>
        <v>CN1059621</v>
      </c>
      <c r="B1656" s="7" t="s">
        <v>8557</v>
      </c>
      <c r="C1656" s="7" t="s">
        <v>8558</v>
      </c>
      <c r="D1656" s="7" t="s">
        <v>1341</v>
      </c>
      <c r="E1656" s="7" t="s">
        <v>1341</v>
      </c>
      <c r="F1656" s="7" t="s">
        <v>8559</v>
      </c>
      <c r="G1656" s="7" t="s">
        <v>8559</v>
      </c>
      <c r="H1656" s="7" t="s">
        <v>0</v>
      </c>
      <c r="I1656" s="7" t="s">
        <v>8560</v>
      </c>
      <c r="J1656" s="7" t="s">
        <v>8561</v>
      </c>
      <c r="K1656" s="7" t="s">
        <v>1037</v>
      </c>
      <c r="L1656" s="7" t="s">
        <v>8562</v>
      </c>
      <c r="M1656" s="7">
        <v>2</v>
      </c>
      <c r="N1656" s="7">
        <v>10</v>
      </c>
      <c r="O1656" s="7" t="s">
        <v>42</v>
      </c>
      <c r="P1656" s="7" t="s">
        <v>43</v>
      </c>
      <c r="Q1656" s="7">
        <v>0</v>
      </c>
      <c r="R1656" s="7">
        <v>0</v>
      </c>
      <c r="S1656" s="7">
        <v>0</v>
      </c>
      <c r="T1656" s="7">
        <v>0</v>
      </c>
      <c r="U1656" s="7">
        <v>1</v>
      </c>
      <c r="V1656" s="7" t="s">
        <v>70</v>
      </c>
      <c r="W1656" s="7">
        <v>0</v>
      </c>
      <c r="X1656" s="7">
        <v>1</v>
      </c>
      <c r="Y1656" s="7">
        <v>1</v>
      </c>
      <c r="Z1656" s="7">
        <v>1</v>
      </c>
      <c r="AA1656" s="7">
        <v>0</v>
      </c>
      <c r="AB1656" s="7">
        <v>0</v>
      </c>
      <c r="AC1656" s="7" t="s">
        <v>0</v>
      </c>
      <c r="AD1656" s="7">
        <v>1</v>
      </c>
      <c r="AE1656" s="7" t="s">
        <v>3651</v>
      </c>
    </row>
    <row r="1657" spans="1:31" ht="51" x14ac:dyDescent="0.2">
      <c r="A1657" s="8" t="str">
        <f>HYPERLINK("http://www.patentics.cn/invokexml.do?sx=showpatent_cn&amp;sf=ShowPatent&amp;spn=US9673872&amp;sx=showpatent_cn&amp;sv=b6b8534bb1989da12e2f164851147c6c","US9673872")</f>
        <v>US9673872</v>
      </c>
      <c r="B1657" s="9" t="s">
        <v>6221</v>
      </c>
      <c r="C1657" s="9" t="s">
        <v>6222</v>
      </c>
      <c r="D1657" s="9" t="s">
        <v>48</v>
      </c>
      <c r="E1657" s="9" t="s">
        <v>49</v>
      </c>
      <c r="F1657" s="9" t="s">
        <v>6223</v>
      </c>
      <c r="G1657" s="9" t="s">
        <v>6224</v>
      </c>
      <c r="H1657" s="9" t="s">
        <v>6225</v>
      </c>
      <c r="I1657" s="9" t="s">
        <v>6226</v>
      </c>
      <c r="J1657" s="9" t="s">
        <v>3404</v>
      </c>
      <c r="K1657" s="9" t="s">
        <v>540</v>
      </c>
      <c r="L1657" s="9" t="s">
        <v>563</v>
      </c>
      <c r="M1657" s="9">
        <v>19</v>
      </c>
      <c r="N1657" s="9">
        <v>16</v>
      </c>
      <c r="O1657" s="9" t="s">
        <v>57</v>
      </c>
      <c r="P1657" s="9" t="s">
        <v>58</v>
      </c>
      <c r="Q1657" s="9">
        <v>24</v>
      </c>
      <c r="R1657" s="9">
        <v>3</v>
      </c>
      <c r="S1657" s="9">
        <v>21</v>
      </c>
      <c r="T1657" s="9">
        <v>18</v>
      </c>
      <c r="U1657" s="9">
        <v>0</v>
      </c>
      <c r="V1657" s="9" t="s">
        <v>114</v>
      </c>
      <c r="W1657" s="9">
        <v>0</v>
      </c>
      <c r="X1657" s="9">
        <v>0</v>
      </c>
      <c r="Y1657" s="9">
        <v>0</v>
      </c>
      <c r="Z1657" s="9">
        <v>0</v>
      </c>
      <c r="AA1657" s="9">
        <v>8</v>
      </c>
      <c r="AB1657" s="9">
        <v>7</v>
      </c>
      <c r="AC1657" s="9">
        <v>14</v>
      </c>
      <c r="AD1657" s="9" t="s">
        <v>0</v>
      </c>
      <c r="AE1657" s="9" t="s">
        <v>60</v>
      </c>
    </row>
  </sheetData>
  <autoFilter ref="A2:AE2" xr:uid="{00000000-0009-0000-0000-000000000000}"/>
  <mergeCells count="2">
    <mergeCell ref="A1:B1"/>
    <mergeCell ref="C1:G1"/>
  </mergeCells>
  <phoneticPr fontId="1"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Patentics</vt:lpstr>
      <vt:lpstr>分析库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hhb</cp:lastModifiedBy>
  <dcterms:created xsi:type="dcterms:W3CDTF">2017-10-30T12:19:16Z</dcterms:created>
  <dcterms:modified xsi:type="dcterms:W3CDTF">2017-10-30T12:19:16Z</dcterms:modified>
</cp:coreProperties>
</file>